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7" i="1" l="1"/>
  <c r="G120" i="1" s="1"/>
  <c r="F117" i="1"/>
  <c r="F120" i="1" s="1"/>
  <c r="G116" i="1"/>
  <c r="E116" i="1"/>
  <c r="F114" i="1"/>
  <c r="E114" i="1"/>
  <c r="H113" i="1"/>
  <c r="G113" i="1"/>
  <c r="F113" i="1"/>
  <c r="H111" i="1"/>
  <c r="G111" i="1"/>
  <c r="G114" i="1" s="1"/>
  <c r="H114" i="1" s="1"/>
  <c r="F111" i="1"/>
  <c r="G110" i="1"/>
  <c r="F110" i="1"/>
  <c r="E110" i="1"/>
  <c r="G108" i="1"/>
  <c r="H108" i="1" s="1"/>
  <c r="E108" i="1"/>
  <c r="H107" i="1"/>
  <c r="G107" i="1"/>
  <c r="F107" i="1"/>
  <c r="H105" i="1"/>
  <c r="G105" i="1"/>
  <c r="F105" i="1"/>
  <c r="F108" i="1" s="1"/>
  <c r="F104" i="1"/>
  <c r="E104" i="1"/>
  <c r="F100" i="1"/>
  <c r="G99" i="1"/>
  <c r="F99" i="1"/>
  <c r="H97" i="1"/>
  <c r="G97" i="1"/>
  <c r="G100" i="1" s="1"/>
  <c r="H100" i="1" s="1"/>
  <c r="F97" i="1"/>
  <c r="F96" i="1"/>
  <c r="E96" i="1"/>
  <c r="F92" i="1"/>
  <c r="E92" i="1"/>
  <c r="G91" i="1"/>
  <c r="H91" i="1" s="1"/>
  <c r="F91" i="1"/>
  <c r="G89" i="1"/>
  <c r="G92" i="1" s="1"/>
  <c r="H92" i="1" s="1"/>
  <c r="F89" i="1"/>
  <c r="F88" i="1" s="1"/>
  <c r="E88" i="1"/>
  <c r="G85" i="1"/>
  <c r="E85" i="1"/>
  <c r="G83" i="1"/>
  <c r="H83" i="1" s="1"/>
  <c r="F83" i="1"/>
  <c r="G81" i="1"/>
  <c r="H81" i="1" s="1"/>
  <c r="F81" i="1"/>
  <c r="F80" i="1" s="1"/>
  <c r="E80" i="1"/>
  <c r="G77" i="1"/>
  <c r="H76" i="1"/>
  <c r="H73" i="1"/>
  <c r="G72" i="1"/>
  <c r="F72" i="1"/>
  <c r="E72" i="1"/>
  <c r="H70" i="1"/>
  <c r="G67" i="1"/>
  <c r="F67" i="1"/>
  <c r="H67" i="1" s="1"/>
  <c r="G66" i="1"/>
  <c r="E66" i="1"/>
  <c r="H64" i="1"/>
  <c r="G61" i="1"/>
  <c r="F61" i="1"/>
  <c r="H61" i="1" s="1"/>
  <c r="G60" i="1"/>
  <c r="E60" i="1"/>
  <c r="H56" i="1"/>
  <c r="G56" i="1"/>
  <c r="F56" i="1"/>
  <c r="E56" i="1"/>
  <c r="H55" i="1"/>
  <c r="G55" i="1"/>
  <c r="F55" i="1"/>
  <c r="H53" i="1"/>
  <c r="G53" i="1"/>
  <c r="F53" i="1"/>
  <c r="G52" i="1"/>
  <c r="F52" i="1"/>
  <c r="E52" i="1"/>
  <c r="G48" i="1"/>
  <c r="H48" i="1" s="1"/>
  <c r="F48" i="1"/>
  <c r="E48" i="1"/>
  <c r="H42" i="1"/>
  <c r="G42" i="1"/>
  <c r="F42" i="1"/>
  <c r="H40" i="1"/>
  <c r="G40" i="1"/>
  <c r="F40" i="1"/>
  <c r="F39" i="1"/>
  <c r="E39" i="1"/>
  <c r="F37" i="1"/>
  <c r="E37" i="1"/>
  <c r="G36" i="1"/>
  <c r="H36" i="1" s="1"/>
  <c r="F36" i="1"/>
  <c r="G34" i="1"/>
  <c r="G37" i="1" s="1"/>
  <c r="H37" i="1" s="1"/>
  <c r="F34" i="1"/>
  <c r="F33" i="1" s="1"/>
  <c r="E33" i="1"/>
  <c r="E10" i="1" s="1"/>
  <c r="G29" i="1"/>
  <c r="E29" i="1"/>
  <c r="G28" i="1"/>
  <c r="F28" i="1"/>
  <c r="H28" i="1" s="1"/>
  <c r="G26" i="1"/>
  <c r="F26" i="1"/>
  <c r="F29" i="1" s="1"/>
  <c r="H29" i="1" s="1"/>
  <c r="G25" i="1"/>
  <c r="E25" i="1"/>
  <c r="G21" i="1"/>
  <c r="E21" i="1"/>
  <c r="H20" i="1"/>
  <c r="G20" i="1"/>
  <c r="F20" i="1"/>
  <c r="H18" i="1"/>
  <c r="G18" i="1"/>
  <c r="F18" i="1"/>
  <c r="F21" i="1" s="1"/>
  <c r="G17" i="1"/>
  <c r="F17" i="1"/>
  <c r="E17" i="1"/>
  <c r="G15" i="1"/>
  <c r="E15" i="1"/>
  <c r="E14" i="1"/>
  <c r="E13" i="1"/>
  <c r="E11" i="1"/>
  <c r="H120" i="1" l="1"/>
  <c r="F14" i="1"/>
  <c r="H21" i="1"/>
  <c r="F13" i="1"/>
  <c r="G11" i="1"/>
  <c r="I81" i="1" s="1"/>
  <c r="G13" i="1"/>
  <c r="I42" i="1" s="1"/>
  <c r="F25" i="1"/>
  <c r="F10" i="1" s="1"/>
  <c r="H26" i="1"/>
  <c r="G33" i="1"/>
  <c r="G10" i="1" s="1"/>
  <c r="F60" i="1"/>
  <c r="F66" i="1"/>
  <c r="G80" i="1"/>
  <c r="I83" i="1"/>
  <c r="G88" i="1"/>
  <c r="I91" i="1"/>
  <c r="F116" i="1"/>
  <c r="H117" i="1"/>
  <c r="G84" i="1"/>
  <c r="H84" i="1" s="1"/>
  <c r="F84" i="1"/>
  <c r="F11" i="1"/>
  <c r="H34" i="1"/>
  <c r="G39" i="1"/>
  <c r="H89" i="1"/>
  <c r="G96" i="1"/>
  <c r="I97" i="1"/>
  <c r="G104" i="1"/>
  <c r="I40" i="1" l="1"/>
  <c r="I36" i="1"/>
  <c r="I107" i="1"/>
  <c r="I73" i="1"/>
  <c r="I111" i="1"/>
  <c r="I53" i="1"/>
  <c r="I117" i="1"/>
  <c r="I67" i="1"/>
  <c r="I61" i="1"/>
  <c r="I26" i="1"/>
  <c r="H11" i="1"/>
  <c r="I18" i="1"/>
  <c r="I89" i="1"/>
  <c r="I34" i="1"/>
  <c r="I28" i="1"/>
  <c r="H13" i="1"/>
  <c r="I55" i="1"/>
  <c r="I20" i="1"/>
  <c r="I113" i="1"/>
  <c r="G14" i="1"/>
  <c r="H14" i="1" s="1"/>
  <c r="I105" i="1"/>
</calcChain>
</file>

<file path=xl/sharedStrings.xml><?xml version="1.0" encoding="utf-8"?>
<sst xmlns="http://schemas.openxmlformats.org/spreadsheetml/2006/main" count="184" uniqueCount="38">
  <si>
    <t>Приложение 2</t>
  </si>
  <si>
    <t xml:space="preserve">к сводному годовому докладу о ходе реализации и об оценке эффективности муниципальных программ Петровского городского округа Ставропольского края за 2021 год  </t>
  </si>
  <si>
    <t>ИНФОРМАЦИЯ</t>
  </si>
  <si>
    <t>о степени освоения  средств в ходе реализации муниципальных программ за  2021 год</t>
  </si>
  <si>
    <t>№ п/п</t>
  </si>
  <si>
    <t>Наименование программы</t>
  </si>
  <si>
    <t>Источники ресурсного обеспечения</t>
  </si>
  <si>
    <t>Кассовые расходы с начала текущего года</t>
  </si>
  <si>
    <t>ВСЕГО по программам:</t>
  </si>
  <si>
    <t>х</t>
  </si>
  <si>
    <t>бюджет округа, всего</t>
  </si>
  <si>
    <t>в том числе:</t>
  </si>
  <si>
    <t>средства краевого бюджета,</t>
  </si>
  <si>
    <t>средства  бюджета округа,</t>
  </si>
  <si>
    <t>средства участников программы</t>
  </si>
  <si>
    <t>из них по программам</t>
  </si>
  <si>
    <t xml:space="preserve"> "Развитие образования"</t>
  </si>
  <si>
    <t>юридические лица</t>
  </si>
  <si>
    <t>физические лица</t>
  </si>
  <si>
    <t>"Социальное развитие"</t>
  </si>
  <si>
    <t xml:space="preserve">средства участников программы: в т.ч. </t>
  </si>
  <si>
    <t>"Социальная поддержка граждан"</t>
  </si>
  <si>
    <t xml:space="preserve">средства участников программы </t>
  </si>
  <si>
    <t>"Развитие жилищно-коммунального хозяйства"</t>
  </si>
  <si>
    <t xml:space="preserve">"Культура Петровского городского округа Ставропольского края" </t>
  </si>
  <si>
    <t>"Управление финансами"</t>
  </si>
  <si>
    <t>"Управление имуществом"</t>
  </si>
  <si>
    <t>"Модернизация экономики и улучшение инвестиционного климата"</t>
  </si>
  <si>
    <t>"Развитие сельского хозяйства"</t>
  </si>
  <si>
    <t>средства участников программы: в т.ч.</t>
  </si>
  <si>
    <t>"Развитие градостроительства, строительства и архитектуры"</t>
  </si>
  <si>
    <t>"Формирование современной городской среды"</t>
  </si>
  <si>
    <t>"Межнациональные отношения, профилактика правонарушений, терроризма и поддержка казачества"</t>
  </si>
  <si>
    <t>"Развитие транспортной системы и обеспечение безопасности дорожного движения"</t>
  </si>
  <si>
    <t>"Совершенствование организации деятельности органов местного самоуправления"</t>
  </si>
  <si>
    <t>Запланировано к финансированию Программой на 2021 год</t>
  </si>
  <si>
    <t>Сводная бюджетная роспись на 30 декабря 2021 года</t>
  </si>
  <si>
    <t xml:space="preserve">   В % к сводной бюджетной росписи на 30 декабря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</si>
</sst>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10" x14ac:knownFonts="1"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6D9F1"/>
        <bgColor rgb="FFF2DCDB"/>
      </patternFill>
    </fill>
    <fill>
      <patternFill patternType="solid">
        <fgColor rgb="FF98EBFF"/>
        <bgColor rgb="FF9CF6DB"/>
      </patternFill>
    </fill>
    <fill>
      <patternFill patternType="solid">
        <fgColor rgb="FFF2DCDB"/>
        <bgColor rgb="FFC6D9F1"/>
      </patternFill>
    </fill>
    <fill>
      <patternFill patternType="solid">
        <fgColor rgb="FF9CF6DB"/>
        <bgColor rgb="FF98EB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/>
    <xf numFmtId="4" fontId="3" fillId="0" borderId="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top"/>
    </xf>
    <xf numFmtId="0" fontId="2" fillId="0" borderId="4" xfId="0" applyFont="1" applyBorder="1" applyAlignment="1">
      <alignment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 vertical="top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4" fillId="2" borderId="1" xfId="0" applyFont="1" applyFill="1" applyBorder="1"/>
    <xf numFmtId="4" fontId="2" fillId="2" borderId="1" xfId="0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 vertical="top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4" fontId="3" fillId="3" borderId="1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4" fontId="2" fillId="4" borderId="1" xfId="0" applyNumberFormat="1" applyFont="1" applyFill="1" applyBorder="1" applyAlignment="1">
      <alignment horizontal="right" vertical="top"/>
    </xf>
    <xf numFmtId="4" fontId="2" fillId="4" borderId="0" xfId="0" applyNumberFormat="1" applyFont="1" applyFill="1"/>
    <xf numFmtId="0" fontId="0" fillId="5" borderId="0" xfId="0" applyFill="1"/>
    <xf numFmtId="0" fontId="0" fillId="4" borderId="0" xfId="0" applyFill="1"/>
    <xf numFmtId="0" fontId="4" fillId="6" borderId="1" xfId="0" applyFont="1" applyFill="1" applyBorder="1"/>
    <xf numFmtId="4" fontId="2" fillId="6" borderId="1" xfId="0" applyNumberFormat="1" applyFont="1" applyFill="1" applyBorder="1" applyAlignment="1">
      <alignment horizontal="right" vertical="top"/>
    </xf>
    <xf numFmtId="0" fontId="3" fillId="7" borderId="1" xfId="0" applyFont="1" applyFill="1" applyBorder="1"/>
    <xf numFmtId="4" fontId="3" fillId="7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0" fontId="3" fillId="2" borderId="1" xfId="0" applyFont="1" applyFill="1" applyBorder="1"/>
    <xf numFmtId="0" fontId="6" fillId="0" borderId="0" xfId="0" applyFont="1"/>
    <xf numFmtId="0" fontId="2" fillId="6" borderId="1" xfId="0" applyFont="1" applyFill="1" applyBorder="1" applyAlignment="1">
      <alignment horizontal="right" vertical="top"/>
    </xf>
    <xf numFmtId="4" fontId="6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4" fontId="3" fillId="4" borderId="1" xfId="0" applyNumberFormat="1" applyFont="1" applyFill="1" applyBorder="1" applyAlignment="1">
      <alignment horizontal="right" vertical="top"/>
    </xf>
    <xf numFmtId="4" fontId="7" fillId="2" borderId="4" xfId="0" applyNumberFormat="1" applyFont="1" applyFill="1" applyBorder="1" applyAlignment="1">
      <alignment horizontal="right" vertical="top"/>
    </xf>
    <xf numFmtId="4" fontId="3" fillId="6" borderId="1" xfId="0" applyNumberFormat="1" applyFont="1" applyFill="1" applyBorder="1" applyAlignment="1">
      <alignment horizontal="right" vertical="top"/>
    </xf>
    <xf numFmtId="4" fontId="5" fillId="7" borderId="1" xfId="0" applyNumberFormat="1" applyFont="1" applyFill="1" applyBorder="1" applyAlignment="1">
      <alignment horizontal="right" vertical="top"/>
    </xf>
    <xf numFmtId="4" fontId="8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" fontId="3" fillId="3" borderId="1" xfId="0" applyNumberFormat="1" applyFont="1" applyFill="1" applyBorder="1" applyAlignment="1">
      <alignment vertical="center"/>
    </xf>
    <xf numFmtId="4" fontId="3" fillId="6" borderId="1" xfId="0" applyNumberFormat="1" applyFont="1" applyFill="1" applyBorder="1" applyAlignment="1">
      <alignment vertical="center"/>
    </xf>
    <xf numFmtId="0" fontId="3" fillId="2" borderId="5" xfId="0" applyFont="1" applyFill="1" applyBorder="1"/>
    <xf numFmtId="4" fontId="3" fillId="0" borderId="5" xfId="0" applyNumberFormat="1" applyFont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>
      <alignment horizontal="right" vertical="center"/>
    </xf>
    <xf numFmtId="2" fontId="2" fillId="6" borderId="1" xfId="0" applyNumberFormat="1" applyFont="1" applyFill="1" applyBorder="1" applyAlignment="1">
      <alignment horizontal="right" vertical="top"/>
    </xf>
    <xf numFmtId="0" fontId="3" fillId="0" borderId="5" xfId="0" applyFont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4" fontId="6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 vertical="top"/>
    </xf>
    <xf numFmtId="2" fontId="2" fillId="4" borderId="1" xfId="0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4" fontId="0" fillId="0" borderId="0" xfId="0" applyNumberFormat="1" applyBorder="1"/>
    <xf numFmtId="0" fontId="3" fillId="3" borderId="1" xfId="0" applyFont="1" applyFill="1" applyBorder="1" applyAlignment="1">
      <alignment horizontal="left" vertical="top" wrapText="1"/>
    </xf>
    <xf numFmtId="0" fontId="0" fillId="0" borderId="0" xfId="0" applyFill="1"/>
    <xf numFmtId="0" fontId="3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justify" wrapText="1"/>
    </xf>
    <xf numFmtId="0" fontId="2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CF6DB"/>
      <rgbColor rgb="FFFFFF99"/>
      <rgbColor rgb="FF98EB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2"/>
  <sheetViews>
    <sheetView tabSelected="1" zoomScale="136" zoomScaleNormal="136" workbookViewId="0">
      <selection activeCell="H8" sqref="H8"/>
    </sheetView>
  </sheetViews>
  <sheetFormatPr defaultRowHeight="15" x14ac:dyDescent="0.25"/>
  <cols>
    <col min="1" max="1" width="10.85546875" customWidth="1"/>
    <col min="2" max="2" width="5.85546875" style="1" customWidth="1"/>
    <col min="3" max="3" width="19.140625" style="1" customWidth="1"/>
    <col min="4" max="4" width="31.7109375" customWidth="1"/>
    <col min="5" max="5" width="20.42578125" customWidth="1"/>
    <col min="6" max="6" width="13.7109375" customWidth="1"/>
    <col min="7" max="7" width="14.7109375" customWidth="1"/>
    <col min="8" max="8" width="14" customWidth="1"/>
    <col min="9" max="9" width="11.28515625" style="2" hidden="1" customWidth="1"/>
    <col min="10" max="68" width="9.140625" style="2" customWidth="1"/>
    <col min="69" max="1026" width="8.7109375" customWidth="1"/>
  </cols>
  <sheetData>
    <row r="1" spans="2:8" x14ac:dyDescent="0.25">
      <c r="B1" s="3"/>
      <c r="C1" s="3"/>
      <c r="D1" s="4"/>
      <c r="E1" s="4"/>
      <c r="F1" s="4"/>
      <c r="G1" s="4"/>
      <c r="H1" s="4"/>
    </row>
    <row r="2" spans="2:8" x14ac:dyDescent="0.25">
      <c r="B2" s="3"/>
      <c r="C2" s="3"/>
      <c r="D2" s="4"/>
      <c r="E2" s="4"/>
      <c r="F2" s="4"/>
      <c r="G2" s="86" t="s">
        <v>0</v>
      </c>
      <c r="H2" s="86"/>
    </row>
    <row r="3" spans="2:8" ht="79.5" customHeight="1" x14ac:dyDescent="0.25">
      <c r="B3" s="3"/>
      <c r="C3" s="3"/>
      <c r="D3" s="4"/>
      <c r="E3" s="4"/>
      <c r="F3" s="4"/>
      <c r="G3" s="87" t="s">
        <v>1</v>
      </c>
      <c r="H3" s="87"/>
    </row>
    <row r="4" spans="2:8" x14ac:dyDescent="0.25">
      <c r="B4" s="3"/>
      <c r="C4" s="3"/>
      <c r="D4" s="4"/>
      <c r="E4" s="4"/>
      <c r="F4" s="4"/>
      <c r="G4" s="4"/>
      <c r="H4" s="4"/>
    </row>
    <row r="5" spans="2:8" x14ac:dyDescent="0.25">
      <c r="B5" s="3"/>
      <c r="C5" s="5"/>
      <c r="D5" s="6"/>
      <c r="E5" s="7" t="s">
        <v>2</v>
      </c>
      <c r="F5" s="8"/>
      <c r="G5" s="8"/>
      <c r="H5" s="8"/>
    </row>
    <row r="6" spans="2:8" ht="17.45" customHeight="1" x14ac:dyDescent="0.25">
      <c r="B6" s="3"/>
      <c r="C6" s="88" t="s">
        <v>3</v>
      </c>
      <c r="D6" s="88"/>
      <c r="E6" s="88"/>
      <c r="F6" s="88"/>
      <c r="G6" s="88"/>
      <c r="H6" s="88"/>
    </row>
    <row r="7" spans="2:8" x14ac:dyDescent="0.25">
      <c r="B7" s="3"/>
      <c r="C7" s="3"/>
      <c r="D7" s="4"/>
      <c r="E7" s="4"/>
      <c r="F7" s="4"/>
      <c r="G7" s="4"/>
      <c r="H7" s="4"/>
    </row>
    <row r="8" spans="2:8" ht="75" customHeight="1" x14ac:dyDescent="0.25">
      <c r="B8" s="9" t="s">
        <v>4</v>
      </c>
      <c r="C8" s="10" t="s">
        <v>5</v>
      </c>
      <c r="D8" s="10" t="s">
        <v>6</v>
      </c>
      <c r="E8" s="11" t="s">
        <v>35</v>
      </c>
      <c r="F8" s="11" t="s">
        <v>36</v>
      </c>
      <c r="G8" s="11" t="s">
        <v>7</v>
      </c>
      <c r="H8" s="11" t="s">
        <v>37</v>
      </c>
    </row>
    <row r="9" spans="2:8" x14ac:dyDescent="0.25">
      <c r="B9" s="9">
        <v>1</v>
      </c>
      <c r="C9" s="12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</row>
    <row r="10" spans="2:8" ht="33" customHeight="1" x14ac:dyDescent="0.25">
      <c r="B10" s="14"/>
      <c r="C10" s="15" t="s">
        <v>8</v>
      </c>
      <c r="D10" s="16"/>
      <c r="E10" s="17">
        <f t="shared" ref="E10:G11" si="0">E17+E25+E33+E39+E52+E60+E66+E72+E80+E88+E96+E104+E110+E116</f>
        <v>2408254.9054000005</v>
      </c>
      <c r="F10" s="17">
        <f t="shared" si="0"/>
        <v>2802301.9112299993</v>
      </c>
      <c r="G10" s="17">
        <f t="shared" si="0"/>
        <v>5802969.388720002</v>
      </c>
      <c r="H10" s="17" t="s">
        <v>9</v>
      </c>
    </row>
    <row r="11" spans="2:8" x14ac:dyDescent="0.25">
      <c r="B11" s="18"/>
      <c r="C11" s="19"/>
      <c r="D11" s="16" t="s">
        <v>10</v>
      </c>
      <c r="E11" s="20">
        <f t="shared" si="0"/>
        <v>2388030.6653999994</v>
      </c>
      <c r="F11" s="20">
        <f t="shared" si="0"/>
        <v>2802301.9112299993</v>
      </c>
      <c r="G11" s="20">
        <f t="shared" si="0"/>
        <v>2470275.9887200003</v>
      </c>
      <c r="H11" s="20">
        <f>G11/F11*100</f>
        <v>88.151671981543743</v>
      </c>
    </row>
    <row r="12" spans="2:8" x14ac:dyDescent="0.25">
      <c r="B12" s="18"/>
      <c r="C12" s="21"/>
      <c r="D12" s="22" t="s">
        <v>11</v>
      </c>
      <c r="E12" s="23"/>
      <c r="F12" s="23"/>
      <c r="G12" s="23"/>
      <c r="H12" s="23"/>
    </row>
    <row r="13" spans="2:8" ht="13.9" customHeight="1" x14ac:dyDescent="0.25">
      <c r="B13" s="24"/>
      <c r="C13" s="25"/>
      <c r="D13" s="26" t="s">
        <v>12</v>
      </c>
      <c r="E13" s="27">
        <f>E20+E28+E36+E42+E55+E63+E69+E75+E83+E91+E99+E107+E113+E119</f>
        <v>1392499.7650300001</v>
      </c>
      <c r="F13" s="27">
        <f>F20+F28+F36+F42+F55+F63+F69+F75+F83+F91+F99+F107+F113+F119</f>
        <v>1778242.7204700001</v>
      </c>
      <c r="G13" s="27">
        <f>G20+G28+G36+G42+G55+G63+G69+G75+G83+G91+G99+G107+G113+G119</f>
        <v>1493450.53942</v>
      </c>
      <c r="H13" s="20">
        <f>G13/F13*100</f>
        <v>83.984628320326948</v>
      </c>
    </row>
    <row r="14" spans="2:8" x14ac:dyDescent="0.25">
      <c r="B14" s="24"/>
      <c r="C14" s="25"/>
      <c r="D14" s="26" t="s">
        <v>13</v>
      </c>
      <c r="E14" s="27">
        <f>E21+E29+E37+E48+E56+E64+E70+E76+E84+E92+E100+E108+E114+E120</f>
        <v>995530.90037000016</v>
      </c>
      <c r="F14" s="27">
        <f>F21+F29+F37+F48+F56+F64+F70+F76+F84+F92+F100+F108+F114+F120</f>
        <v>1024059.1896199997</v>
      </c>
      <c r="G14" s="27">
        <f>G21+G29+G37+G48+G56+G64+G70+G76+G84+G92+G100+G108+G114+G120</f>
        <v>976825.45543999993</v>
      </c>
      <c r="H14" s="20">
        <f>G14/F14*100</f>
        <v>95.387597254263497</v>
      </c>
    </row>
    <row r="15" spans="2:8" x14ac:dyDescent="0.25">
      <c r="B15" s="18"/>
      <c r="C15" s="25"/>
      <c r="D15" s="16" t="s">
        <v>14</v>
      </c>
      <c r="E15" s="20">
        <f>E22+E30+E38+E49+E57+E65+E71+E77+E85+E93+E101+E109+E115+E121</f>
        <v>20224.239999999998</v>
      </c>
      <c r="F15" s="20" t="s">
        <v>9</v>
      </c>
      <c r="G15" s="20">
        <f>G22+G30+G38+G49+G57+G65+G71+G77+G85+G93+G101+G109+G115+G121</f>
        <v>3332693.4000000004</v>
      </c>
      <c r="H15" s="20" t="s">
        <v>9</v>
      </c>
    </row>
    <row r="16" spans="2:8" ht="25.5" x14ac:dyDescent="0.25">
      <c r="B16" s="28"/>
      <c r="C16" s="25" t="s">
        <v>15</v>
      </c>
      <c r="D16" s="29"/>
      <c r="E16" s="30"/>
      <c r="F16" s="30"/>
      <c r="G16" s="30"/>
      <c r="H16" s="30"/>
    </row>
    <row r="17" spans="1:68" ht="30.75" customHeight="1" x14ac:dyDescent="0.25">
      <c r="B17" s="31">
        <v>1</v>
      </c>
      <c r="C17" s="80" t="s">
        <v>16</v>
      </c>
      <c r="D17" s="33"/>
      <c r="E17" s="34">
        <f>E18+E22</f>
        <v>1016399.28</v>
      </c>
      <c r="F17" s="34">
        <f>F18</f>
        <v>1027527.36648</v>
      </c>
      <c r="G17" s="34">
        <f>G18</f>
        <v>975931.72635000001</v>
      </c>
      <c r="H17" s="34" t="s">
        <v>9</v>
      </c>
    </row>
    <row r="18" spans="1:68" x14ac:dyDescent="0.25">
      <c r="B18" s="35"/>
      <c r="C18" s="36"/>
      <c r="D18" s="16" t="s">
        <v>10</v>
      </c>
      <c r="E18" s="37">
        <v>1016399.28</v>
      </c>
      <c r="F18" s="37">
        <f>1027527366.48/1000</f>
        <v>1027527.36648</v>
      </c>
      <c r="G18" s="37">
        <f>975931726.35/1000</f>
        <v>975931.72635000001</v>
      </c>
      <c r="H18" s="37">
        <f>G18/F18*100</f>
        <v>94.978660246612094</v>
      </c>
      <c r="I18" s="2">
        <f>G18/G11*100</f>
        <v>39.506991559096576</v>
      </c>
    </row>
    <row r="19" spans="1:68" x14ac:dyDescent="0.25">
      <c r="B19" s="38"/>
      <c r="C19" s="39"/>
      <c r="D19" s="22" t="s">
        <v>11</v>
      </c>
      <c r="E19" s="30"/>
      <c r="F19" s="30"/>
      <c r="G19" s="30"/>
      <c r="H19" s="30"/>
    </row>
    <row r="20" spans="1:68" s="46" customFormat="1" x14ac:dyDescent="0.25">
      <c r="A20" s="81"/>
      <c r="B20" s="40"/>
      <c r="C20" s="41"/>
      <c r="D20" s="42" t="s">
        <v>12</v>
      </c>
      <c r="E20" s="43">
        <v>545418.18999999994</v>
      </c>
      <c r="F20" s="44">
        <f>(151931663.58+577643.7+315825980.08+80538694.82+1081089.07+1452000+6889209.28+1823605.57+182667.45)/1000</f>
        <v>560302.55355000019</v>
      </c>
      <c r="G20" s="43">
        <f>(151920545.42+369593.7+302467072.4+56167269.32+813677.85+1452000+6889209.28+1823605.57+182175.98)/1000</f>
        <v>522085.14951999998</v>
      </c>
      <c r="H20" s="43">
        <f>G20/F20*100</f>
        <v>93.179148696028605</v>
      </c>
      <c r="I20" s="45">
        <f>G20/G13*100</f>
        <v>34.95831537365531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</row>
    <row r="21" spans="1:68" x14ac:dyDescent="0.25">
      <c r="B21" s="40"/>
      <c r="C21" s="41"/>
      <c r="D21" s="47" t="s">
        <v>13</v>
      </c>
      <c r="E21" s="48">
        <f>E18-E20</f>
        <v>470981.09000000008</v>
      </c>
      <c r="F21" s="48">
        <f>F18-F20</f>
        <v>467224.81292999978</v>
      </c>
      <c r="G21" s="48">
        <f>G18-G20</f>
        <v>453846.57683000003</v>
      </c>
      <c r="H21" s="48">
        <f>G21/F21*100</f>
        <v>97.136659755695788</v>
      </c>
    </row>
    <row r="22" spans="1:68" x14ac:dyDescent="0.25">
      <c r="B22" s="38"/>
      <c r="C22" s="39"/>
      <c r="D22" s="49" t="s">
        <v>14</v>
      </c>
      <c r="E22" s="50">
        <v>0</v>
      </c>
      <c r="F22" s="50" t="s">
        <v>9</v>
      </c>
      <c r="G22" s="50">
        <v>0</v>
      </c>
      <c r="H22" s="50" t="s">
        <v>9</v>
      </c>
    </row>
    <row r="23" spans="1:68" x14ac:dyDescent="0.25">
      <c r="B23" s="38"/>
      <c r="C23" s="39"/>
      <c r="D23" s="22" t="s">
        <v>17</v>
      </c>
      <c r="E23" s="51">
        <v>0</v>
      </c>
      <c r="F23" s="20" t="s">
        <v>9</v>
      </c>
      <c r="G23" s="30">
        <v>0</v>
      </c>
      <c r="H23" s="20"/>
    </row>
    <row r="24" spans="1:68" x14ac:dyDescent="0.25">
      <c r="B24" s="38"/>
      <c r="C24" s="39"/>
      <c r="D24" s="22" t="s">
        <v>18</v>
      </c>
      <c r="E24" s="51">
        <v>0</v>
      </c>
      <c r="F24" s="20" t="s">
        <v>9</v>
      </c>
      <c r="G24" s="30">
        <v>0</v>
      </c>
      <c r="H24" s="20"/>
    </row>
    <row r="25" spans="1:68" ht="29.25" customHeight="1" x14ac:dyDescent="0.25">
      <c r="B25" s="31">
        <v>2</v>
      </c>
      <c r="C25" s="80" t="s">
        <v>19</v>
      </c>
      <c r="D25" s="33"/>
      <c r="E25" s="34">
        <f>E26+E30</f>
        <v>54769.11</v>
      </c>
      <c r="F25" s="34">
        <f>F26</f>
        <v>54444.75116</v>
      </c>
      <c r="G25" s="34">
        <f>G26+G30</f>
        <v>53761.835270000003</v>
      </c>
      <c r="H25" s="34" t="s">
        <v>9</v>
      </c>
    </row>
    <row r="26" spans="1:68" x14ac:dyDescent="0.25">
      <c r="B26" s="35"/>
      <c r="C26" s="36"/>
      <c r="D26" s="52" t="s">
        <v>10</v>
      </c>
      <c r="E26" s="53">
        <v>54534.11</v>
      </c>
      <c r="F26" s="37">
        <f>54444751.16/1000</f>
        <v>54444.75116</v>
      </c>
      <c r="G26" s="37">
        <f>53509885.27/1000</f>
        <v>53509.885270000006</v>
      </c>
      <c r="H26" s="20">
        <f>G26/F26*100</f>
        <v>98.282909059033713</v>
      </c>
      <c r="I26" s="2">
        <f>G26/G11*100</f>
        <v>2.1661500785475685</v>
      </c>
    </row>
    <row r="27" spans="1:68" x14ac:dyDescent="0.25">
      <c r="B27" s="38"/>
      <c r="C27" s="39"/>
      <c r="D27" s="22" t="s">
        <v>11</v>
      </c>
      <c r="E27" s="30"/>
      <c r="F27" s="30"/>
      <c r="G27" s="30"/>
      <c r="H27" s="30"/>
    </row>
    <row r="28" spans="1:68" s="46" customFormat="1" x14ac:dyDescent="0.25">
      <c r="A28" s="81"/>
      <c r="B28" s="40"/>
      <c r="C28" s="41"/>
      <c r="D28" s="42" t="s">
        <v>12</v>
      </c>
      <c r="E28" s="43">
        <v>15843.75</v>
      </c>
      <c r="F28" s="43">
        <f>(1988318.23+11987571.47+2414264.9)/1000</f>
        <v>16390.154600000002</v>
      </c>
      <c r="G28" s="43">
        <f>(1988318.23+11756658.75+2414264.9)/1000</f>
        <v>16159.241880000001</v>
      </c>
      <c r="H28" s="43">
        <f>G28/F28*100</f>
        <v>98.591149835767865</v>
      </c>
      <c r="I28" s="45">
        <f>G28/G13*100</f>
        <v>1.0820071675273319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</row>
    <row r="29" spans="1:68" x14ac:dyDescent="0.25">
      <c r="B29" s="40"/>
      <c r="C29" s="41"/>
      <c r="D29" s="47" t="s">
        <v>13</v>
      </c>
      <c r="E29" s="54">
        <f>E26-E28</f>
        <v>38690.36</v>
      </c>
      <c r="F29" s="48">
        <f>F26-F28</f>
        <v>38054.596559999998</v>
      </c>
      <c r="G29" s="48">
        <f>G26-G28</f>
        <v>37350.643390000005</v>
      </c>
      <c r="H29" s="48">
        <f>G29/F29*100</f>
        <v>98.150149433616818</v>
      </c>
    </row>
    <row r="30" spans="1:68" x14ac:dyDescent="0.25">
      <c r="B30" s="38"/>
      <c r="C30" s="39"/>
      <c r="D30" s="49" t="s">
        <v>20</v>
      </c>
      <c r="E30" s="50">
        <v>235</v>
      </c>
      <c r="F30" s="50" t="s">
        <v>9</v>
      </c>
      <c r="G30" s="50">
        <v>251.95</v>
      </c>
      <c r="H30" s="50" t="s">
        <v>9</v>
      </c>
    </row>
    <row r="31" spans="1:68" x14ac:dyDescent="0.25">
      <c r="B31" s="38"/>
      <c r="C31" s="39"/>
      <c r="D31" s="22" t="s">
        <v>17</v>
      </c>
      <c r="E31" s="30">
        <v>0</v>
      </c>
      <c r="F31" s="20"/>
      <c r="G31" s="30">
        <v>0</v>
      </c>
      <c r="H31" s="20"/>
    </row>
    <row r="32" spans="1:68" x14ac:dyDescent="0.25">
      <c r="B32" s="38"/>
      <c r="C32" s="39"/>
      <c r="D32" s="22" t="s">
        <v>18</v>
      </c>
      <c r="E32" s="30">
        <v>235</v>
      </c>
      <c r="F32" s="20"/>
      <c r="G32" s="30">
        <v>251.95</v>
      </c>
      <c r="H32" s="20"/>
    </row>
    <row r="33" spans="1:68" ht="36" customHeight="1" x14ac:dyDescent="0.25">
      <c r="B33" s="31">
        <v>3</v>
      </c>
      <c r="C33" s="32" t="s">
        <v>21</v>
      </c>
      <c r="D33" s="33"/>
      <c r="E33" s="34">
        <f>E34</f>
        <v>608694.81000000006</v>
      </c>
      <c r="F33" s="34">
        <f>F34</f>
        <v>710825.76150999998</v>
      </c>
      <c r="G33" s="34">
        <f>G34</f>
        <v>710619.81298000005</v>
      </c>
      <c r="H33" s="34" t="s">
        <v>9</v>
      </c>
    </row>
    <row r="34" spans="1:68" x14ac:dyDescent="0.25">
      <c r="B34" s="35"/>
      <c r="C34" s="36"/>
      <c r="D34" s="52" t="s">
        <v>10</v>
      </c>
      <c r="E34" s="37">
        <v>608694.81000000006</v>
      </c>
      <c r="F34" s="37">
        <f>710825761.51/1000</f>
        <v>710825.76150999998</v>
      </c>
      <c r="G34" s="37">
        <f>710619812.98/1000</f>
        <v>710619.81298000005</v>
      </c>
      <c r="H34" s="20">
        <f>G34/F34*100</f>
        <v>99.971026861834261</v>
      </c>
      <c r="I34" s="2">
        <f>G34/G11*100</f>
        <v>28.76681861560802</v>
      </c>
    </row>
    <row r="35" spans="1:68" x14ac:dyDescent="0.25">
      <c r="B35" s="38"/>
      <c r="C35" s="39"/>
      <c r="D35" s="22" t="s">
        <v>11</v>
      </c>
      <c r="E35" s="30"/>
      <c r="F35" s="30"/>
      <c r="G35" s="30"/>
      <c r="H35" s="30"/>
    </row>
    <row r="36" spans="1:68" s="46" customFormat="1" x14ac:dyDescent="0.25">
      <c r="A36" s="81"/>
      <c r="B36" s="40"/>
      <c r="C36" s="41"/>
      <c r="D36" s="42" t="s">
        <v>12</v>
      </c>
      <c r="E36" s="43">
        <v>608176.81000000006</v>
      </c>
      <c r="F36" s="43">
        <f>(117986361.03+476510716.27+46001579.41+44747715.22+25061389.58)/1000</f>
        <v>710307.76150999998</v>
      </c>
      <c r="G36" s="43">
        <f>(117956687.84+476475368.44+46001579.41+44747715.11+25061389.58)/1000</f>
        <v>710242.74037999997</v>
      </c>
      <c r="H36" s="43">
        <f>G36/F36*100</f>
        <v>99.990846062295333</v>
      </c>
      <c r="I36" s="45">
        <f>G36/G13*100</f>
        <v>47.55716521123167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</row>
    <row r="37" spans="1:68" x14ac:dyDescent="0.25">
      <c r="B37" s="40"/>
      <c r="C37" s="41"/>
      <c r="D37" s="47" t="s">
        <v>13</v>
      </c>
      <c r="E37" s="48">
        <f>E34-E36</f>
        <v>518</v>
      </c>
      <c r="F37" s="48">
        <f>F34-F36</f>
        <v>518</v>
      </c>
      <c r="G37" s="48">
        <f>G34-G36</f>
        <v>377.07260000007227</v>
      </c>
      <c r="H37" s="48">
        <f>G37/F37*100</f>
        <v>72.793938223952168</v>
      </c>
    </row>
    <row r="38" spans="1:68" x14ac:dyDescent="0.25">
      <c r="B38" s="38"/>
      <c r="C38" s="39"/>
      <c r="D38" s="49" t="s">
        <v>22</v>
      </c>
      <c r="E38" s="50">
        <v>0</v>
      </c>
      <c r="F38" s="50" t="s">
        <v>9</v>
      </c>
      <c r="G38" s="50">
        <v>0</v>
      </c>
      <c r="H38" s="50">
        <v>0</v>
      </c>
    </row>
    <row r="39" spans="1:68" ht="45.75" customHeight="1" x14ac:dyDescent="0.25">
      <c r="B39" s="31">
        <v>4</v>
      </c>
      <c r="C39" s="80" t="s">
        <v>23</v>
      </c>
      <c r="D39" s="33"/>
      <c r="E39" s="34">
        <f>E40+E49</f>
        <v>114410.62000000001</v>
      </c>
      <c r="F39" s="34">
        <f>F40</f>
        <v>99937.398700000005</v>
      </c>
      <c r="G39" s="34">
        <f>G40+G49</f>
        <v>118373.17584</v>
      </c>
      <c r="H39" s="34" t="s">
        <v>9</v>
      </c>
    </row>
    <row r="40" spans="1:68" x14ac:dyDescent="0.25">
      <c r="B40" s="35"/>
      <c r="C40" s="36"/>
      <c r="D40" s="52" t="s">
        <v>10</v>
      </c>
      <c r="E40" s="55">
        <v>96886.24</v>
      </c>
      <c r="F40" s="37">
        <f>99937398.7/1000</f>
        <v>99937.398700000005</v>
      </c>
      <c r="G40" s="37">
        <f>95457835.84/1000</f>
        <v>95457.83584</v>
      </c>
      <c r="H40" s="20">
        <f>G40/F40*100</f>
        <v>95.517631118809575</v>
      </c>
      <c r="I40" s="2">
        <f>G40/G11*100</f>
        <v>3.864257932145569</v>
      </c>
    </row>
    <row r="41" spans="1:68" x14ac:dyDescent="0.25">
      <c r="B41" s="38"/>
      <c r="C41" s="39"/>
      <c r="D41" s="22" t="s">
        <v>11</v>
      </c>
      <c r="E41" s="56"/>
      <c r="F41" s="30"/>
      <c r="G41" s="30"/>
      <c r="H41" s="30"/>
    </row>
    <row r="42" spans="1:68" s="46" customFormat="1" x14ac:dyDescent="0.25">
      <c r="A42" s="81"/>
      <c r="B42" s="40"/>
      <c r="C42" s="41"/>
      <c r="D42" s="42" t="s">
        <v>12</v>
      </c>
      <c r="E42" s="43">
        <v>14852.28</v>
      </c>
      <c r="F42" s="43">
        <f>(829812.1+3384435.64+10638032.32+0+342047.57)/1000</f>
        <v>15194.327630000002</v>
      </c>
      <c r="G42" s="43">
        <f>(822639.48+3384435.64+10638032.32+0+342047.57)/1000</f>
        <v>15187.155010000002</v>
      </c>
      <c r="H42" s="57">
        <f>G42/F42*100</f>
        <v>99.952794094120762</v>
      </c>
      <c r="I42" s="45">
        <f>G42/G13*100</f>
        <v>1.0169171732930722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</row>
    <row r="43" spans="1:68" hidden="1" x14ac:dyDescent="0.25">
      <c r="B43" s="40"/>
      <c r="C43" s="41"/>
      <c r="D43" s="26"/>
      <c r="E43" s="27"/>
      <c r="F43" s="27"/>
      <c r="G43" s="27"/>
      <c r="H43" s="27"/>
    </row>
    <row r="44" spans="1:68" hidden="1" x14ac:dyDescent="0.25">
      <c r="B44" s="40"/>
      <c r="C44" s="41"/>
      <c r="D44" s="26"/>
      <c r="E44" s="27"/>
      <c r="F44" s="27"/>
      <c r="G44" s="27"/>
      <c r="H44" s="27"/>
    </row>
    <row r="45" spans="1:68" hidden="1" x14ac:dyDescent="0.25">
      <c r="B45" s="40"/>
      <c r="C45" s="41"/>
      <c r="D45" s="26"/>
      <c r="E45" s="27"/>
      <c r="F45" s="27"/>
      <c r="G45" s="27"/>
      <c r="H45" s="27"/>
    </row>
    <row r="46" spans="1:68" ht="15.75" hidden="1" x14ac:dyDescent="0.25">
      <c r="B46" s="40"/>
      <c r="C46" s="41"/>
      <c r="D46" s="26"/>
      <c r="E46" s="27"/>
      <c r="F46" s="27"/>
      <c r="G46" s="27"/>
      <c r="H46" s="27"/>
      <c r="I46" s="58">
        <v>107636.97</v>
      </c>
    </row>
    <row r="47" spans="1:68" ht="15.75" hidden="1" x14ac:dyDescent="0.25">
      <c r="B47" s="40"/>
      <c r="C47" s="41"/>
      <c r="D47" s="26"/>
      <c r="E47" s="27"/>
      <c r="F47" s="27"/>
      <c r="G47" s="27"/>
      <c r="H47" s="27"/>
      <c r="I47" s="58">
        <v>376000</v>
      </c>
    </row>
    <row r="48" spans="1:68" x14ac:dyDescent="0.25">
      <c r="B48" s="40"/>
      <c r="C48" s="41"/>
      <c r="D48" s="47" t="s">
        <v>13</v>
      </c>
      <c r="E48" s="48">
        <f>E40-E42</f>
        <v>82033.960000000006</v>
      </c>
      <c r="F48" s="48">
        <f>F40-F42</f>
        <v>84743.071070000005</v>
      </c>
      <c r="G48" s="48">
        <f>G40-G42</f>
        <v>80270.680829999998</v>
      </c>
      <c r="H48" s="59">
        <f>G48/F48*100</f>
        <v>94.722411893350326</v>
      </c>
    </row>
    <row r="49" spans="1:68" x14ac:dyDescent="0.25">
      <c r="B49" s="38"/>
      <c r="C49" s="39"/>
      <c r="D49" s="49" t="s">
        <v>20</v>
      </c>
      <c r="E49" s="60">
        <v>17524.38</v>
      </c>
      <c r="F49" s="50" t="s">
        <v>9</v>
      </c>
      <c r="G49" s="50">
        <v>22915.34</v>
      </c>
      <c r="H49" s="50" t="s">
        <v>9</v>
      </c>
    </row>
    <row r="50" spans="1:68" x14ac:dyDescent="0.25">
      <c r="B50" s="38"/>
      <c r="C50" s="39"/>
      <c r="D50" s="22" t="s">
        <v>17</v>
      </c>
      <c r="E50" s="51">
        <v>0</v>
      </c>
      <c r="F50" s="30" t="s">
        <v>9</v>
      </c>
      <c r="G50" s="30">
        <v>0</v>
      </c>
      <c r="H50" s="30" t="s">
        <v>9</v>
      </c>
    </row>
    <row r="51" spans="1:68" x14ac:dyDescent="0.25">
      <c r="B51" s="38"/>
      <c r="C51" s="39"/>
      <c r="D51" s="22" t="s">
        <v>18</v>
      </c>
      <c r="E51" s="51">
        <v>17524.28</v>
      </c>
      <c r="F51" s="30" t="s">
        <v>9</v>
      </c>
      <c r="G51" s="30">
        <v>22915.34</v>
      </c>
      <c r="H51" s="30" t="s">
        <v>9</v>
      </c>
    </row>
    <row r="52" spans="1:68" ht="66" customHeight="1" x14ac:dyDescent="0.25">
      <c r="B52" s="31">
        <v>5</v>
      </c>
      <c r="C52" s="80" t="s">
        <v>24</v>
      </c>
      <c r="D52" s="33"/>
      <c r="E52" s="34">
        <f>E53+E57</f>
        <v>217027.59</v>
      </c>
      <c r="F52" s="34">
        <f>F53</f>
        <v>388921.38773000002</v>
      </c>
      <c r="G52" s="34">
        <f>G53+G57</f>
        <v>221817.32673</v>
      </c>
      <c r="H52" s="34" t="s">
        <v>9</v>
      </c>
    </row>
    <row r="53" spans="1:68" x14ac:dyDescent="0.25">
      <c r="B53" s="35"/>
      <c r="C53" s="36"/>
      <c r="D53" s="52" t="s">
        <v>10</v>
      </c>
      <c r="E53" s="61">
        <v>216434.74</v>
      </c>
      <c r="F53" s="37">
        <f>388921387.73/1000</f>
        <v>388921.38773000002</v>
      </c>
      <c r="G53" s="37">
        <f>221224476.73/1000</f>
        <v>221224.47672999999</v>
      </c>
      <c r="H53" s="20">
        <f>G53/F53*100</f>
        <v>56.881540514192586</v>
      </c>
      <c r="I53" s="2">
        <f>G53/G11*100</f>
        <v>8.9554558980525023</v>
      </c>
    </row>
    <row r="54" spans="1:68" x14ac:dyDescent="0.25">
      <c r="B54" s="38"/>
      <c r="C54" s="39"/>
      <c r="D54" s="22" t="s">
        <v>11</v>
      </c>
      <c r="E54" s="62"/>
      <c r="F54" s="30"/>
      <c r="G54" s="30"/>
      <c r="H54" s="30"/>
    </row>
    <row r="55" spans="1:68" s="46" customFormat="1" x14ac:dyDescent="0.25">
      <c r="A55" s="81"/>
      <c r="B55" s="40"/>
      <c r="C55" s="41"/>
      <c r="D55" s="42" t="s">
        <v>12</v>
      </c>
      <c r="E55" s="43">
        <v>64680.18</v>
      </c>
      <c r="F55" s="43">
        <f>(187198910+939948.05+448470.99+76380+160468.55+8090987.17+22850800+353535.36)/1000</f>
        <v>220119.50012000004</v>
      </c>
      <c r="G55" s="43">
        <f>(30922250+939948.05+448470.99+76380+160468.55+8090987.17+22850800+353535.36)/1000</f>
        <v>63842.840120000001</v>
      </c>
      <c r="H55" s="43">
        <f>G55/F55*100</f>
        <v>29.003718473463518</v>
      </c>
      <c r="I55" s="45">
        <f>G55/G13*100</f>
        <v>4.274854669428434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</row>
    <row r="56" spans="1:68" x14ac:dyDescent="0.25">
      <c r="B56" s="40"/>
      <c r="C56" s="41"/>
      <c r="D56" s="47" t="s">
        <v>13</v>
      </c>
      <c r="E56" s="48">
        <f>E53-E55</f>
        <v>151754.56</v>
      </c>
      <c r="F56" s="48">
        <f>F53-F55</f>
        <v>168801.88760999998</v>
      </c>
      <c r="G56" s="48">
        <f>G53-G55</f>
        <v>157381.63660999999</v>
      </c>
      <c r="H56" s="48">
        <f>G56/F56*100</f>
        <v>93.234524114810043</v>
      </c>
    </row>
    <row r="57" spans="1:68" x14ac:dyDescent="0.25">
      <c r="B57" s="38"/>
      <c r="C57" s="39"/>
      <c r="D57" s="49" t="s">
        <v>20</v>
      </c>
      <c r="E57" s="50">
        <v>592.85</v>
      </c>
      <c r="F57" s="50" t="s">
        <v>9</v>
      </c>
      <c r="G57" s="50">
        <v>592.85</v>
      </c>
      <c r="H57" s="50" t="s">
        <v>9</v>
      </c>
    </row>
    <row r="58" spans="1:68" x14ac:dyDescent="0.25">
      <c r="B58" s="38"/>
      <c r="C58" s="39"/>
      <c r="D58" s="22" t="s">
        <v>17</v>
      </c>
      <c r="E58" s="20">
        <v>0</v>
      </c>
      <c r="F58" s="30" t="s">
        <v>9</v>
      </c>
      <c r="G58" s="30">
        <v>0</v>
      </c>
      <c r="H58" s="30" t="s">
        <v>9</v>
      </c>
    </row>
    <row r="59" spans="1:68" x14ac:dyDescent="0.25">
      <c r="B59" s="38"/>
      <c r="C59" s="39"/>
      <c r="D59" s="22" t="s">
        <v>18</v>
      </c>
      <c r="E59" s="20">
        <v>592.85</v>
      </c>
      <c r="F59" s="30" t="s">
        <v>9</v>
      </c>
      <c r="G59" s="30">
        <v>592.85</v>
      </c>
      <c r="H59" s="30" t="s">
        <v>9</v>
      </c>
    </row>
    <row r="60" spans="1:68" ht="39" customHeight="1" x14ac:dyDescent="0.25">
      <c r="B60" s="31">
        <v>6</v>
      </c>
      <c r="C60" s="80" t="s">
        <v>25</v>
      </c>
      <c r="D60" s="33"/>
      <c r="E60" s="34">
        <f>E61+E65</f>
        <v>67249.31</v>
      </c>
      <c r="F60" s="34">
        <f>F61</f>
        <v>53264.717600000004</v>
      </c>
      <c r="G60" s="34">
        <f>G61</f>
        <v>48715.145380000002</v>
      </c>
      <c r="H60" s="34" t="s">
        <v>9</v>
      </c>
    </row>
    <row r="61" spans="1:68" x14ac:dyDescent="0.25">
      <c r="B61" s="35"/>
      <c r="C61" s="36"/>
      <c r="D61" s="52" t="s">
        <v>10</v>
      </c>
      <c r="E61" s="63">
        <v>67249.31</v>
      </c>
      <c r="F61" s="37">
        <f>53264717.6/1000</f>
        <v>53264.717600000004</v>
      </c>
      <c r="G61" s="37">
        <f>48715145.38/1000</f>
        <v>48715.145380000002</v>
      </c>
      <c r="H61" s="20">
        <f>G61/F61*100</f>
        <v>91.458563144620896</v>
      </c>
      <c r="I61" s="2">
        <f>G61/G11*100</f>
        <v>1.9720527423837477</v>
      </c>
    </row>
    <row r="62" spans="1:68" x14ac:dyDescent="0.25">
      <c r="B62" s="38"/>
      <c r="C62" s="39"/>
      <c r="D62" s="22" t="s">
        <v>11</v>
      </c>
      <c r="E62" s="30"/>
      <c r="F62" s="30"/>
      <c r="G62" s="30"/>
      <c r="H62" s="30"/>
    </row>
    <row r="63" spans="1:68" s="46" customFormat="1" x14ac:dyDescent="0.25">
      <c r="A63" s="81"/>
      <c r="B63" s="40"/>
      <c r="C63" s="41"/>
      <c r="D63" s="42" t="s">
        <v>12</v>
      </c>
      <c r="E63" s="43">
        <v>0</v>
      </c>
      <c r="F63" s="43">
        <v>0</v>
      </c>
      <c r="G63" s="43">
        <v>0</v>
      </c>
      <c r="H63" s="43">
        <v>0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</row>
    <row r="64" spans="1:68" x14ac:dyDescent="0.25">
      <c r="B64" s="40"/>
      <c r="C64" s="41"/>
      <c r="D64" s="47" t="s">
        <v>13</v>
      </c>
      <c r="E64" s="48">
        <v>67249.31</v>
      </c>
      <c r="F64" s="48">
        <v>53264.72</v>
      </c>
      <c r="G64" s="48">
        <v>48715.15</v>
      </c>
      <c r="H64" s="48">
        <f>G64/F64*100</f>
        <v>91.45856769734263</v>
      </c>
    </row>
    <row r="65" spans="1:68" x14ac:dyDescent="0.25">
      <c r="B65" s="38"/>
      <c r="C65" s="39"/>
      <c r="D65" s="49" t="s">
        <v>20</v>
      </c>
      <c r="E65" s="50">
        <v>0</v>
      </c>
      <c r="F65" s="50" t="s">
        <v>9</v>
      </c>
      <c r="G65" s="50">
        <v>0</v>
      </c>
      <c r="H65" s="50" t="s">
        <v>9</v>
      </c>
    </row>
    <row r="66" spans="1:68" ht="39" customHeight="1" x14ac:dyDescent="0.25">
      <c r="B66" s="31">
        <v>7</v>
      </c>
      <c r="C66" s="80" t="s">
        <v>26</v>
      </c>
      <c r="D66" s="33"/>
      <c r="E66" s="64">
        <f>E67+E69+E71</f>
        <v>47139.03</v>
      </c>
      <c r="F66" s="64">
        <f>F67</f>
        <v>50315.233540000001</v>
      </c>
      <c r="G66" s="64">
        <f>G67</f>
        <v>48082.028479999994</v>
      </c>
      <c r="H66" s="34" t="s">
        <v>9</v>
      </c>
    </row>
    <row r="67" spans="1:68" x14ac:dyDescent="0.25">
      <c r="B67" s="35"/>
      <c r="C67" s="36"/>
      <c r="D67" s="52" t="s">
        <v>10</v>
      </c>
      <c r="E67" s="37">
        <v>47139.03</v>
      </c>
      <c r="F67" s="37">
        <f>50315233.54/1000</f>
        <v>50315.233540000001</v>
      </c>
      <c r="G67" s="37">
        <f>48082028.48/1000</f>
        <v>48082.028479999994</v>
      </c>
      <c r="H67" s="20">
        <f>G67/F67*100</f>
        <v>95.561572702977443</v>
      </c>
      <c r="I67" s="2">
        <f>G67/G11*100</f>
        <v>1.9464233429607274</v>
      </c>
    </row>
    <row r="68" spans="1:68" x14ac:dyDescent="0.25">
      <c r="B68" s="38"/>
      <c r="C68" s="39"/>
      <c r="D68" s="22" t="s">
        <v>11</v>
      </c>
      <c r="E68" s="30"/>
      <c r="F68" s="30"/>
      <c r="G68" s="30"/>
      <c r="H68" s="30"/>
    </row>
    <row r="69" spans="1:68" s="46" customFormat="1" x14ac:dyDescent="0.25">
      <c r="A69" s="81"/>
      <c r="B69" s="40"/>
      <c r="C69" s="41"/>
      <c r="D69" s="42" t="s">
        <v>12</v>
      </c>
      <c r="E69" s="43">
        <v>0</v>
      </c>
      <c r="F69" s="43">
        <v>0</v>
      </c>
      <c r="G69" s="43">
        <v>0</v>
      </c>
      <c r="H69" s="43">
        <v>0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</row>
    <row r="70" spans="1:68" x14ac:dyDescent="0.25">
      <c r="B70" s="40"/>
      <c r="C70" s="41"/>
      <c r="D70" s="47" t="s">
        <v>13</v>
      </c>
      <c r="E70" s="48">
        <v>47139.03</v>
      </c>
      <c r="F70" s="48">
        <v>50315.23</v>
      </c>
      <c r="G70" s="48">
        <v>48082.03</v>
      </c>
      <c r="H70" s="65">
        <f>G70/F70*100</f>
        <v>95.561582447302726</v>
      </c>
    </row>
    <row r="71" spans="1:68" x14ac:dyDescent="0.25">
      <c r="B71" s="38"/>
      <c r="C71" s="39"/>
      <c r="D71" s="49" t="s">
        <v>14</v>
      </c>
      <c r="E71" s="50">
        <v>0</v>
      </c>
      <c r="F71" s="50" t="s">
        <v>9</v>
      </c>
      <c r="G71" s="50">
        <v>0</v>
      </c>
      <c r="H71" s="50">
        <v>0</v>
      </c>
    </row>
    <row r="72" spans="1:68" ht="72" customHeight="1" x14ac:dyDescent="0.25">
      <c r="B72" s="31">
        <v>8</v>
      </c>
      <c r="C72" s="80" t="s">
        <v>27</v>
      </c>
      <c r="D72" s="33"/>
      <c r="E72" s="34">
        <f>E73+E77</f>
        <v>1240</v>
      </c>
      <c r="F72" s="34">
        <f>F73</f>
        <v>390</v>
      </c>
      <c r="G72" s="34">
        <f>G73+G77</f>
        <v>3302960</v>
      </c>
      <c r="H72" s="34" t="s">
        <v>9</v>
      </c>
    </row>
    <row r="73" spans="1:68" x14ac:dyDescent="0.25">
      <c r="B73" s="83"/>
      <c r="C73" s="89"/>
      <c r="D73" s="66" t="s">
        <v>10</v>
      </c>
      <c r="E73" s="67">
        <v>390</v>
      </c>
      <c r="F73" s="67">
        <v>390</v>
      </c>
      <c r="G73" s="67">
        <v>140</v>
      </c>
      <c r="H73" s="20">
        <f>G73/F73*100</f>
        <v>35.897435897435898</v>
      </c>
      <c r="I73" s="2">
        <f>G73/G11*100</f>
        <v>5.6673829417960096E-3</v>
      </c>
    </row>
    <row r="74" spans="1:68" x14ac:dyDescent="0.25">
      <c r="B74" s="83"/>
      <c r="C74" s="89"/>
      <c r="D74" s="22" t="s">
        <v>11</v>
      </c>
      <c r="E74" s="30"/>
      <c r="F74" s="30"/>
      <c r="G74" s="30"/>
      <c r="H74" s="30"/>
    </row>
    <row r="75" spans="1:68" s="46" customFormat="1" x14ac:dyDescent="0.25">
      <c r="A75" s="81"/>
      <c r="B75" s="83"/>
      <c r="C75" s="89"/>
      <c r="D75" s="42" t="s">
        <v>12</v>
      </c>
      <c r="E75" s="43">
        <v>0</v>
      </c>
      <c r="F75" s="43">
        <v>0</v>
      </c>
      <c r="G75" s="43">
        <v>0</v>
      </c>
      <c r="H75" s="43">
        <v>0</v>
      </c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</row>
    <row r="76" spans="1:68" x14ac:dyDescent="0.25">
      <c r="B76" s="83"/>
      <c r="C76" s="89"/>
      <c r="D76" s="47" t="s">
        <v>13</v>
      </c>
      <c r="E76" s="48">
        <v>390</v>
      </c>
      <c r="F76" s="48">
        <v>390</v>
      </c>
      <c r="G76" s="48">
        <v>140</v>
      </c>
      <c r="H76" s="48">
        <f>G76/F76*100</f>
        <v>35.897435897435898</v>
      </c>
    </row>
    <row r="77" spans="1:68" x14ac:dyDescent="0.25">
      <c r="B77" s="83"/>
      <c r="C77" s="89"/>
      <c r="D77" s="49" t="s">
        <v>20</v>
      </c>
      <c r="E77" s="50">
        <v>850</v>
      </c>
      <c r="F77" s="50" t="s">
        <v>9</v>
      </c>
      <c r="G77" s="50">
        <f>G78+G79</f>
        <v>3302820</v>
      </c>
      <c r="H77" s="50" t="s">
        <v>9</v>
      </c>
    </row>
    <row r="78" spans="1:68" x14ac:dyDescent="0.25">
      <c r="B78" s="83"/>
      <c r="C78" s="89"/>
      <c r="D78" s="22" t="s">
        <v>17</v>
      </c>
      <c r="E78" s="30">
        <v>835</v>
      </c>
      <c r="F78" s="30" t="s">
        <v>9</v>
      </c>
      <c r="G78" s="30">
        <v>3284420</v>
      </c>
      <c r="H78" s="30" t="s">
        <v>9</v>
      </c>
    </row>
    <row r="79" spans="1:68" x14ac:dyDescent="0.25">
      <c r="B79" s="83"/>
      <c r="C79" s="89"/>
      <c r="D79" s="22" t="s">
        <v>18</v>
      </c>
      <c r="E79" s="30">
        <v>15</v>
      </c>
      <c r="F79" s="30" t="s">
        <v>9</v>
      </c>
      <c r="G79" s="30">
        <v>18400</v>
      </c>
      <c r="H79" s="30" t="s">
        <v>9</v>
      </c>
    </row>
    <row r="80" spans="1:68" ht="36.75" customHeight="1" x14ac:dyDescent="0.25">
      <c r="B80" s="31">
        <v>9</v>
      </c>
      <c r="C80" s="32" t="s">
        <v>28</v>
      </c>
      <c r="D80" s="33"/>
      <c r="E80" s="34">
        <f>E81+E85</f>
        <v>7234.4100000000008</v>
      </c>
      <c r="F80" s="34">
        <f>F81</f>
        <v>6779.2267400000001</v>
      </c>
      <c r="G80" s="34">
        <f>G81+G85</f>
        <v>11754.8375</v>
      </c>
      <c r="H80" s="34" t="s">
        <v>9</v>
      </c>
    </row>
    <row r="81" spans="1:68" x14ac:dyDescent="0.25">
      <c r="B81" s="35"/>
      <c r="C81" s="82"/>
      <c r="D81" s="52" t="s">
        <v>10</v>
      </c>
      <c r="E81" s="37">
        <v>6763.31</v>
      </c>
      <c r="F81" s="37">
        <f>6779226.74/1000</f>
        <v>6779.2267400000001</v>
      </c>
      <c r="G81" s="37">
        <f>6753737.5/1000</f>
        <v>6753.7375000000002</v>
      </c>
      <c r="H81" s="20">
        <f>G81/F81*100</f>
        <v>99.624009625616978</v>
      </c>
      <c r="I81" s="2">
        <f>G81/G11*100</f>
        <v>0.27340011929191443</v>
      </c>
    </row>
    <row r="82" spans="1:68" x14ac:dyDescent="0.25">
      <c r="B82" s="83"/>
      <c r="C82" s="82"/>
      <c r="D82" s="22" t="s">
        <v>11</v>
      </c>
      <c r="E82" s="30"/>
      <c r="F82" s="30"/>
      <c r="G82" s="30"/>
      <c r="H82" s="30"/>
    </row>
    <row r="83" spans="1:68" s="46" customFormat="1" x14ac:dyDescent="0.25">
      <c r="A83" s="81"/>
      <c r="B83" s="83"/>
      <c r="C83" s="82"/>
      <c r="D83" s="42" t="s">
        <v>12</v>
      </c>
      <c r="E83" s="43">
        <v>2511.79</v>
      </c>
      <c r="F83" s="43">
        <f>(307772.21+2219934.53)/1000</f>
        <v>2527.7067399999996</v>
      </c>
      <c r="G83" s="43">
        <f>(307772.21+2219934.53)/1000</f>
        <v>2527.7067399999996</v>
      </c>
      <c r="H83" s="43">
        <f>G83/F83*100</f>
        <v>100</v>
      </c>
      <c r="I83" s="45">
        <f>G83/G13*100</f>
        <v>0.16925279232760301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</row>
    <row r="84" spans="1:68" x14ac:dyDescent="0.25">
      <c r="B84" s="83"/>
      <c r="C84" s="82"/>
      <c r="D84" s="47" t="s">
        <v>13</v>
      </c>
      <c r="E84" s="48">
        <v>4251.5200000000004</v>
      </c>
      <c r="F84" s="48">
        <f>F81-F83</f>
        <v>4251.5200000000004</v>
      </c>
      <c r="G84" s="48">
        <f>G81-G83</f>
        <v>4226.0307600000006</v>
      </c>
      <c r="H84" s="48">
        <f>G84/F84*100</f>
        <v>99.400467597471021</v>
      </c>
    </row>
    <row r="85" spans="1:68" x14ac:dyDescent="0.25">
      <c r="B85" s="83"/>
      <c r="C85" s="82"/>
      <c r="D85" s="49" t="s">
        <v>20</v>
      </c>
      <c r="E85" s="50">
        <f>E86+E87</f>
        <v>471.1</v>
      </c>
      <c r="F85" s="50" t="s">
        <v>9</v>
      </c>
      <c r="G85" s="50">
        <f>G86+G87</f>
        <v>5001.0999999999995</v>
      </c>
      <c r="H85" s="50" t="s">
        <v>9</v>
      </c>
    </row>
    <row r="86" spans="1:68" x14ac:dyDescent="0.25">
      <c r="B86" s="83"/>
      <c r="C86" s="82"/>
      <c r="D86" s="22" t="s">
        <v>17</v>
      </c>
      <c r="E86" s="30">
        <v>426.1</v>
      </c>
      <c r="F86" s="30" t="s">
        <v>9</v>
      </c>
      <c r="G86" s="30">
        <v>4710.3999999999996</v>
      </c>
      <c r="H86" s="30" t="s">
        <v>9</v>
      </c>
    </row>
    <row r="87" spans="1:68" x14ac:dyDescent="0.25">
      <c r="B87" s="83"/>
      <c r="C87" s="82"/>
      <c r="D87" s="22" t="s">
        <v>18</v>
      </c>
      <c r="E87" s="30">
        <v>45</v>
      </c>
      <c r="F87" s="30" t="s">
        <v>9</v>
      </c>
      <c r="G87" s="30">
        <v>290.7</v>
      </c>
      <c r="H87" s="30" t="s">
        <v>9</v>
      </c>
    </row>
    <row r="88" spans="1:68" ht="92.25" customHeight="1" x14ac:dyDescent="0.25">
      <c r="B88" s="31">
        <v>10</v>
      </c>
      <c r="C88" s="80" t="s">
        <v>33</v>
      </c>
      <c r="D88" s="33"/>
      <c r="E88" s="34">
        <f>E89+E93</f>
        <v>144821.26</v>
      </c>
      <c r="F88" s="34">
        <f>F89</f>
        <v>258868.71361000001</v>
      </c>
      <c r="G88" s="34">
        <f>G89+G93</f>
        <v>163160.92981999999</v>
      </c>
      <c r="H88" s="34" t="s">
        <v>9</v>
      </c>
    </row>
    <row r="89" spans="1:68" x14ac:dyDescent="0.25">
      <c r="B89" s="35"/>
      <c r="C89" s="36"/>
      <c r="D89" s="52" t="s">
        <v>10</v>
      </c>
      <c r="E89" s="37">
        <v>144821.26</v>
      </c>
      <c r="F89" s="37">
        <f>258868713.61/1000</f>
        <v>258868.71361000001</v>
      </c>
      <c r="G89" s="37">
        <f>162599679.82/1000</f>
        <v>162599.67981999999</v>
      </c>
      <c r="H89" s="20">
        <f>G89/F89*100</f>
        <v>62.811638205521191</v>
      </c>
      <c r="I89" s="2">
        <f>G89/G11*100</f>
        <v>6.5822475125240043</v>
      </c>
    </row>
    <row r="90" spans="1:68" x14ac:dyDescent="0.25">
      <c r="B90" s="38"/>
      <c r="C90" s="39"/>
      <c r="D90" s="22" t="s">
        <v>11</v>
      </c>
      <c r="E90" s="30"/>
      <c r="F90" s="30"/>
      <c r="G90" s="30"/>
      <c r="H90" s="30"/>
    </row>
    <row r="91" spans="1:68" s="46" customFormat="1" x14ac:dyDescent="0.25">
      <c r="A91" s="81"/>
      <c r="B91" s="40"/>
      <c r="C91" s="41"/>
      <c r="D91" s="42" t="s">
        <v>12</v>
      </c>
      <c r="E91" s="43">
        <v>100878.6</v>
      </c>
      <c r="F91" s="43">
        <f>(5200603.2+118457878.38+72584351.58)/1000</f>
        <v>196242.83316000001</v>
      </c>
      <c r="G91" s="43">
        <f>(5200603.2+35145391.7+65901827.71)/1000</f>
        <v>106247.82261000002</v>
      </c>
      <c r="H91" s="43">
        <f>G91/F91*100</f>
        <v>54.140995061651211</v>
      </c>
      <c r="I91" s="45">
        <f>G91/G13*100</f>
        <v>7.1142511791025012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</row>
    <row r="92" spans="1:68" x14ac:dyDescent="0.25">
      <c r="B92" s="40"/>
      <c r="C92" s="41"/>
      <c r="D92" s="47" t="s">
        <v>13</v>
      </c>
      <c r="E92" s="48">
        <f>E89-E91</f>
        <v>43942.66</v>
      </c>
      <c r="F92" s="48">
        <f>F89-F91</f>
        <v>62625.880449999997</v>
      </c>
      <c r="G92" s="48">
        <f>G89-G91</f>
        <v>56351.857209999973</v>
      </c>
      <c r="H92" s="48">
        <f>G92/F92*100</f>
        <v>89.981740464297104</v>
      </c>
    </row>
    <row r="93" spans="1:68" x14ac:dyDescent="0.25">
      <c r="B93" s="40"/>
      <c r="C93" s="41"/>
      <c r="D93" s="49" t="s">
        <v>29</v>
      </c>
      <c r="E93" s="50">
        <v>0</v>
      </c>
      <c r="F93" s="50" t="s">
        <v>9</v>
      </c>
      <c r="G93" s="50">
        <v>561.25</v>
      </c>
      <c r="H93" s="50" t="s">
        <v>9</v>
      </c>
    </row>
    <row r="94" spans="1:68" x14ac:dyDescent="0.25">
      <c r="B94" s="40"/>
      <c r="C94" s="41"/>
      <c r="D94" s="22" t="s">
        <v>17</v>
      </c>
      <c r="E94" s="30">
        <v>0</v>
      </c>
      <c r="F94" s="30" t="s">
        <v>9</v>
      </c>
      <c r="G94" s="30">
        <v>510.53</v>
      </c>
      <c r="H94" s="30" t="s">
        <v>9</v>
      </c>
    </row>
    <row r="95" spans="1:68" x14ac:dyDescent="0.25">
      <c r="B95" s="38"/>
      <c r="C95" s="39"/>
      <c r="D95" s="22" t="s">
        <v>18</v>
      </c>
      <c r="E95" s="30">
        <v>0</v>
      </c>
      <c r="F95" s="30" t="s">
        <v>9</v>
      </c>
      <c r="G95" s="30">
        <v>50.72</v>
      </c>
      <c r="H95" s="30" t="s">
        <v>9</v>
      </c>
    </row>
    <row r="96" spans="1:68" ht="56.25" customHeight="1" x14ac:dyDescent="0.25">
      <c r="B96" s="31">
        <v>11</v>
      </c>
      <c r="C96" s="80" t="s">
        <v>30</v>
      </c>
      <c r="D96" s="33"/>
      <c r="E96" s="34">
        <f>E99+E100+E101</f>
        <v>10447.56</v>
      </c>
      <c r="F96" s="34">
        <f>F99+F100</f>
        <v>9896.6460000000006</v>
      </c>
      <c r="G96" s="34">
        <f>G97+G101</f>
        <v>10447.556</v>
      </c>
      <c r="H96" s="34">
        <v>0</v>
      </c>
    </row>
    <row r="97" spans="1:68" x14ac:dyDescent="0.25">
      <c r="B97" s="35"/>
      <c r="C97" s="36"/>
      <c r="D97" s="52" t="s">
        <v>10</v>
      </c>
      <c r="E97" s="37">
        <v>9896.65</v>
      </c>
      <c r="F97" s="37">
        <f>9896646/1000</f>
        <v>9896.6460000000006</v>
      </c>
      <c r="G97" s="37">
        <f>9896646/1000</f>
        <v>9896.6460000000006</v>
      </c>
      <c r="H97" s="68">
        <f>G97/F97*100</f>
        <v>100</v>
      </c>
      <c r="I97" s="2">
        <f>G97/G11*100</f>
        <v>0.40062916229566936</v>
      </c>
    </row>
    <row r="98" spans="1:68" x14ac:dyDescent="0.25">
      <c r="B98" s="38"/>
      <c r="C98" s="39"/>
      <c r="D98" s="22" t="s">
        <v>11</v>
      </c>
      <c r="E98" s="30"/>
      <c r="F98" s="30"/>
      <c r="G98" s="30"/>
      <c r="H98" s="30"/>
    </row>
    <row r="99" spans="1:68" s="46" customFormat="1" x14ac:dyDescent="0.25">
      <c r="A99" s="81"/>
      <c r="B99" s="40"/>
      <c r="C99" s="41"/>
      <c r="D99" s="42" t="s">
        <v>12</v>
      </c>
      <c r="E99" s="43">
        <v>281.82</v>
      </c>
      <c r="F99" s="43">
        <f>281813.7/1000</f>
        <v>281.81370000000004</v>
      </c>
      <c r="G99" s="43">
        <f>281813.7/1000</f>
        <v>281.81370000000004</v>
      </c>
      <c r="H99" s="43">
        <v>0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</row>
    <row r="100" spans="1:68" x14ac:dyDescent="0.25">
      <c r="B100" s="40"/>
      <c r="C100" s="41"/>
      <c r="D100" s="47" t="s">
        <v>13</v>
      </c>
      <c r="E100" s="48">
        <v>9614.83</v>
      </c>
      <c r="F100" s="48">
        <f>F97-F99</f>
        <v>9614.8323</v>
      </c>
      <c r="G100" s="48">
        <f>G97-G99</f>
        <v>9614.8323</v>
      </c>
      <c r="H100" s="69">
        <f>G100/F100*100</f>
        <v>100</v>
      </c>
    </row>
    <row r="101" spans="1:68" x14ac:dyDescent="0.25">
      <c r="B101" s="38"/>
      <c r="C101" s="39"/>
      <c r="D101" s="49" t="s">
        <v>14</v>
      </c>
      <c r="E101" s="50">
        <v>550.91</v>
      </c>
      <c r="F101" s="50" t="s">
        <v>9</v>
      </c>
      <c r="G101" s="50">
        <v>550.91</v>
      </c>
      <c r="H101" s="50" t="s">
        <v>9</v>
      </c>
    </row>
    <row r="102" spans="1:68" x14ac:dyDescent="0.25">
      <c r="B102" s="38"/>
      <c r="C102" s="39"/>
      <c r="D102" s="22" t="s">
        <v>17</v>
      </c>
      <c r="E102" s="30">
        <v>0</v>
      </c>
      <c r="F102" s="30" t="s">
        <v>9</v>
      </c>
      <c r="G102" s="30">
        <v>0</v>
      </c>
      <c r="H102" s="30" t="s">
        <v>9</v>
      </c>
    </row>
    <row r="103" spans="1:68" x14ac:dyDescent="0.25">
      <c r="B103" s="38"/>
      <c r="C103" s="39"/>
      <c r="D103" s="22" t="s">
        <v>18</v>
      </c>
      <c r="E103" s="30">
        <v>550.91</v>
      </c>
      <c r="F103" s="30" t="s">
        <v>9</v>
      </c>
      <c r="G103" s="30">
        <v>550.91</v>
      </c>
      <c r="H103" s="30" t="s">
        <v>9</v>
      </c>
    </row>
    <row r="104" spans="1:68" ht="40.35" customHeight="1" x14ac:dyDescent="0.25">
      <c r="B104" s="31">
        <v>12</v>
      </c>
      <c r="C104" s="80" t="s">
        <v>31</v>
      </c>
      <c r="D104" s="33"/>
      <c r="E104" s="34">
        <f>E105</f>
        <v>35320.365400000002</v>
      </c>
      <c r="F104" s="34">
        <f>F105</f>
        <v>53157.125399999997</v>
      </c>
      <c r="G104" s="34">
        <f>G105</f>
        <v>52535.325880000004</v>
      </c>
      <c r="H104" s="34" t="s">
        <v>9</v>
      </c>
    </row>
    <row r="105" spans="1:68" x14ac:dyDescent="0.25">
      <c r="B105" s="35"/>
      <c r="C105" s="36"/>
      <c r="D105" s="52" t="s">
        <v>10</v>
      </c>
      <c r="E105" s="37">
        <v>35320.365400000002</v>
      </c>
      <c r="F105" s="68">
        <f>53157125.4/1000</f>
        <v>53157.125399999997</v>
      </c>
      <c r="G105" s="68">
        <f>52535325.88/1000</f>
        <v>52535.325880000004</v>
      </c>
      <c r="H105" s="68">
        <f>G105/F105*100</f>
        <v>98.830261201445651</v>
      </c>
      <c r="I105" s="2">
        <f>G105/G11*100</f>
        <v>2.1266986409571889</v>
      </c>
    </row>
    <row r="106" spans="1:68" x14ac:dyDescent="0.25">
      <c r="B106" s="38"/>
      <c r="C106" s="39"/>
      <c r="D106" s="22" t="s">
        <v>11</v>
      </c>
      <c r="E106" s="30"/>
      <c r="F106" s="30"/>
      <c r="G106" s="30"/>
      <c r="H106" s="30"/>
    </row>
    <row r="107" spans="1:68" s="46" customFormat="1" x14ac:dyDescent="0.25">
      <c r="A107" s="81"/>
      <c r="B107" s="40"/>
      <c r="C107" s="41"/>
      <c r="D107" s="42" t="s">
        <v>12</v>
      </c>
      <c r="E107" s="43">
        <v>34985.345029999997</v>
      </c>
      <c r="F107" s="43">
        <f>52005068.27/1000</f>
        <v>52005.068270000003</v>
      </c>
      <c r="G107" s="43">
        <f>52005068.27/1000</f>
        <v>52005.068270000003</v>
      </c>
      <c r="H107" s="43">
        <f>G107/F107*100</f>
        <v>100</v>
      </c>
      <c r="I107" s="45">
        <f>G107/G13*100</f>
        <v>3.4822089448102389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</row>
    <row r="108" spans="1:68" x14ac:dyDescent="0.25">
      <c r="B108" s="40"/>
      <c r="C108" s="41"/>
      <c r="D108" s="47" t="s">
        <v>13</v>
      </c>
      <c r="E108" s="70">
        <f>E105-E107</f>
        <v>335.02037000000564</v>
      </c>
      <c r="F108" s="48">
        <f>F105-F107</f>
        <v>1152.0571299999938</v>
      </c>
      <c r="G108" s="48">
        <f>G105-G107</f>
        <v>530.25761000000057</v>
      </c>
      <c r="H108" s="48">
        <f>G108/F108*100</f>
        <v>46.027023850805335</v>
      </c>
    </row>
    <row r="109" spans="1:68" x14ac:dyDescent="0.25">
      <c r="B109" s="28"/>
      <c r="C109" s="71"/>
      <c r="D109" s="49" t="s">
        <v>14</v>
      </c>
      <c r="E109" s="50">
        <v>0</v>
      </c>
      <c r="F109" s="50" t="s">
        <v>9</v>
      </c>
      <c r="G109" s="50">
        <v>0</v>
      </c>
      <c r="H109" s="50" t="s">
        <v>9</v>
      </c>
    </row>
    <row r="110" spans="1:68" ht="93.75" customHeight="1" x14ac:dyDescent="0.25">
      <c r="B110" s="31">
        <v>13</v>
      </c>
      <c r="C110" s="80" t="s">
        <v>32</v>
      </c>
      <c r="D110" s="33"/>
      <c r="E110" s="34">
        <f>E111+E115</f>
        <v>28417.55</v>
      </c>
      <c r="F110" s="34">
        <f>F111</f>
        <v>28417.55429</v>
      </c>
      <c r="G110" s="34">
        <f>G111</f>
        <v>26987.379420000001</v>
      </c>
      <c r="H110" s="34" t="s">
        <v>9</v>
      </c>
    </row>
    <row r="111" spans="1:68" x14ac:dyDescent="0.25">
      <c r="B111" s="35"/>
      <c r="C111" s="36"/>
      <c r="D111" s="52" t="s">
        <v>10</v>
      </c>
      <c r="E111" s="37">
        <v>28417.55</v>
      </c>
      <c r="F111" s="37">
        <f>28417554.29/1000</f>
        <v>28417.55429</v>
      </c>
      <c r="G111" s="37">
        <f>26987379.42/1000</f>
        <v>26987.379420000001</v>
      </c>
      <c r="H111" s="20">
        <f>G111/F111*100</f>
        <v>94.967283759168282</v>
      </c>
      <c r="I111" s="2">
        <f>G111/G11*100</f>
        <v>1.0924843840620333</v>
      </c>
    </row>
    <row r="112" spans="1:68" x14ac:dyDescent="0.25">
      <c r="B112" s="38"/>
      <c r="C112" s="39"/>
      <c r="D112" s="22" t="s">
        <v>11</v>
      </c>
      <c r="E112" s="30"/>
      <c r="F112" s="30"/>
      <c r="G112" s="30"/>
      <c r="H112" s="30"/>
    </row>
    <row r="113" spans="1:68" s="46" customFormat="1" x14ac:dyDescent="0.25">
      <c r="A113" s="81"/>
      <c r="B113" s="40"/>
      <c r="C113" s="41"/>
      <c r="D113" s="42" t="s">
        <v>12</v>
      </c>
      <c r="E113" s="43">
        <v>4871</v>
      </c>
      <c r="F113" s="43">
        <f>(100000+41731.19+4729270)/1000</f>
        <v>4871.0011900000009</v>
      </c>
      <c r="G113" s="43">
        <f>(100000+41731.19+4729270)/1000</f>
        <v>4871.0011900000009</v>
      </c>
      <c r="H113" s="43">
        <f>G113/F113*100</f>
        <v>100</v>
      </c>
      <c r="I113" s="45">
        <f>G113/G13*100</f>
        <v>0.3261575165315963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</row>
    <row r="114" spans="1:68" x14ac:dyDescent="0.25">
      <c r="B114" s="40"/>
      <c r="C114" s="41"/>
      <c r="D114" s="47" t="s">
        <v>13</v>
      </c>
      <c r="E114" s="48">
        <f>E111-E113</f>
        <v>23546.55</v>
      </c>
      <c r="F114" s="48">
        <f>F111-F113</f>
        <v>23546.553099999997</v>
      </c>
      <c r="G114" s="48">
        <f>G111-G113</f>
        <v>22116.378230000002</v>
      </c>
      <c r="H114" s="48">
        <f>G114/F114*100</f>
        <v>93.92618162018799</v>
      </c>
    </row>
    <row r="115" spans="1:68" x14ac:dyDescent="0.25">
      <c r="B115" s="38"/>
      <c r="C115" s="39"/>
      <c r="D115" s="49" t="s">
        <v>14</v>
      </c>
      <c r="E115" s="50">
        <v>0</v>
      </c>
      <c r="F115" s="50" t="s">
        <v>9</v>
      </c>
      <c r="G115" s="50">
        <v>0</v>
      </c>
      <c r="H115" s="50">
        <v>0</v>
      </c>
    </row>
    <row r="116" spans="1:68" ht="71.25" customHeight="1" x14ac:dyDescent="0.25">
      <c r="B116" s="31">
        <v>14</v>
      </c>
      <c r="C116" s="80" t="s">
        <v>34</v>
      </c>
      <c r="D116" s="33"/>
      <c r="E116" s="72">
        <f>E117+E121</f>
        <v>55084.01</v>
      </c>
      <c r="F116" s="34">
        <f>F117</f>
        <v>59556.028469999997</v>
      </c>
      <c r="G116" s="34">
        <f>G117</f>
        <v>57822.309070000003</v>
      </c>
      <c r="H116" s="34" t="s">
        <v>9</v>
      </c>
    </row>
    <row r="117" spans="1:68" x14ac:dyDescent="0.25">
      <c r="B117" s="84"/>
      <c r="C117" s="85"/>
      <c r="D117" s="52" t="s">
        <v>10</v>
      </c>
      <c r="E117" s="73">
        <v>55084.01</v>
      </c>
      <c r="F117" s="37">
        <f>59556028.47/1000</f>
        <v>59556.028469999997</v>
      </c>
      <c r="G117" s="37">
        <f>57822309.07/1000</f>
        <v>57822.309070000003</v>
      </c>
      <c r="H117" s="20">
        <f>G117/F117*100</f>
        <v>97.088927108574211</v>
      </c>
      <c r="I117" s="2">
        <f>G117/G11*100</f>
        <v>2.3407226291326761</v>
      </c>
    </row>
    <row r="118" spans="1:68" x14ac:dyDescent="0.25">
      <c r="B118" s="84"/>
      <c r="C118" s="85"/>
      <c r="D118" s="26" t="s">
        <v>11</v>
      </c>
      <c r="E118" s="74"/>
      <c r="F118" s="30"/>
      <c r="G118" s="30"/>
      <c r="H118" s="30"/>
    </row>
    <row r="119" spans="1:68" s="46" customFormat="1" x14ac:dyDescent="0.25">
      <c r="A119" s="81"/>
      <c r="B119" s="84"/>
      <c r="C119" s="85"/>
      <c r="D119" s="42" t="s">
        <v>12</v>
      </c>
      <c r="E119" s="75">
        <v>0</v>
      </c>
      <c r="F119" s="43">
        <v>0</v>
      </c>
      <c r="G119" s="43">
        <v>0</v>
      </c>
      <c r="H119" s="43">
        <v>0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</row>
    <row r="120" spans="1:68" x14ac:dyDescent="0.25">
      <c r="B120" s="84"/>
      <c r="C120" s="85"/>
      <c r="D120" s="47" t="s">
        <v>13</v>
      </c>
      <c r="E120" s="48">
        <v>55084.01</v>
      </c>
      <c r="F120" s="48">
        <f>F117-F119</f>
        <v>59556.028469999997</v>
      </c>
      <c r="G120" s="48">
        <f>G117-G119</f>
        <v>57822.309070000003</v>
      </c>
      <c r="H120" s="48">
        <f>G120/F120*100</f>
        <v>97.088927108574211</v>
      </c>
    </row>
    <row r="121" spans="1:68" x14ac:dyDescent="0.25">
      <c r="B121" s="84"/>
      <c r="C121" s="85"/>
      <c r="D121" s="49" t="s">
        <v>14</v>
      </c>
      <c r="E121" s="50">
        <v>0</v>
      </c>
      <c r="F121" s="50" t="s">
        <v>9</v>
      </c>
      <c r="G121" s="50">
        <v>0</v>
      </c>
      <c r="H121" s="50">
        <v>0</v>
      </c>
    </row>
    <row r="122" spans="1:68" x14ac:dyDescent="0.25">
      <c r="B122" s="76"/>
      <c r="C122" s="77"/>
      <c r="D122" s="78"/>
      <c r="E122" s="79"/>
      <c r="F122" s="79"/>
      <c r="G122" s="79"/>
      <c r="H122" s="79"/>
    </row>
  </sheetData>
  <mergeCells count="9">
    <mergeCell ref="C81:C87"/>
    <mergeCell ref="B82:B87"/>
    <mergeCell ref="B117:B121"/>
    <mergeCell ref="C117:C121"/>
    <mergeCell ref="G2:H2"/>
    <mergeCell ref="G3:H3"/>
    <mergeCell ref="C6:H6"/>
    <mergeCell ref="B73:B79"/>
    <mergeCell ref="C73:C79"/>
  </mergeCells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myazina</dc:creator>
  <dc:description/>
  <cp:lastModifiedBy>seryak</cp:lastModifiedBy>
  <cp:revision>174</cp:revision>
  <cp:lastPrinted>2022-04-26T12:58:35Z</cp:lastPrinted>
  <dcterms:created xsi:type="dcterms:W3CDTF">2019-08-07T13:05:49Z</dcterms:created>
  <dcterms:modified xsi:type="dcterms:W3CDTF">2022-04-27T10:34:15Z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