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0" i="1" l="1"/>
  <c r="G67" i="1"/>
  <c r="G66" i="1" s="1"/>
  <c r="F67" i="1"/>
  <c r="H67" i="1" s="1"/>
  <c r="F73" i="1"/>
  <c r="G73" i="1"/>
  <c r="E77" i="1"/>
  <c r="E72" i="1" s="1"/>
  <c r="G105" i="1"/>
  <c r="H105" i="1" s="1"/>
  <c r="F105" i="1"/>
  <c r="F108" i="1" s="1"/>
  <c r="G36" i="1"/>
  <c r="G34" i="1"/>
  <c r="F36" i="1"/>
  <c r="H36" i="1" s="1"/>
  <c r="F34" i="1"/>
  <c r="F33" i="1" s="1"/>
  <c r="E84" i="1"/>
  <c r="G83" i="1"/>
  <c r="G81" i="1"/>
  <c r="F83" i="1"/>
  <c r="F81" i="1"/>
  <c r="F80" i="1" s="1"/>
  <c r="E100" i="1"/>
  <c r="E96" i="1" s="1"/>
  <c r="G101" i="1"/>
  <c r="G99" i="1"/>
  <c r="G97" i="1"/>
  <c r="F99" i="1"/>
  <c r="H99" i="1" s="1"/>
  <c r="F97" i="1"/>
  <c r="E49" i="1"/>
  <c r="E39" i="1" s="1"/>
  <c r="G49" i="1"/>
  <c r="G42" i="1"/>
  <c r="G40" i="1"/>
  <c r="F42" i="1"/>
  <c r="F40" i="1"/>
  <c r="G91" i="1"/>
  <c r="G89" i="1"/>
  <c r="F91" i="1"/>
  <c r="F92" i="1" s="1"/>
  <c r="F89" i="1"/>
  <c r="E64" i="1"/>
  <c r="G61" i="1"/>
  <c r="G64" i="1" s="1"/>
  <c r="F64" i="1"/>
  <c r="F61" i="1"/>
  <c r="G117" i="1"/>
  <c r="G120" i="1" s="1"/>
  <c r="F117" i="1"/>
  <c r="F120" i="1" s="1"/>
  <c r="G55" i="1"/>
  <c r="G53" i="1"/>
  <c r="G52" i="1" s="1"/>
  <c r="F55" i="1"/>
  <c r="F53" i="1"/>
  <c r="F56" i="1" s="1"/>
  <c r="G28" i="1"/>
  <c r="G26" i="1"/>
  <c r="F28" i="1"/>
  <c r="F26" i="1"/>
  <c r="G113" i="1"/>
  <c r="G114" i="1" s="1"/>
  <c r="G111" i="1"/>
  <c r="F113" i="1"/>
  <c r="F111" i="1"/>
  <c r="F110" i="1" s="1"/>
  <c r="G20" i="1"/>
  <c r="G18" i="1"/>
  <c r="G17" i="1" s="1"/>
  <c r="F20" i="1"/>
  <c r="F18" i="1"/>
  <c r="A7" i="2"/>
  <c r="B6" i="2"/>
  <c r="B3" i="2"/>
  <c r="E116" i="1"/>
  <c r="E114" i="1"/>
  <c r="G110" i="1"/>
  <c r="E110" i="1"/>
  <c r="E108" i="1"/>
  <c r="F104" i="1"/>
  <c r="E104" i="1"/>
  <c r="E92" i="1"/>
  <c r="F88" i="1"/>
  <c r="E88" i="1"/>
  <c r="G85" i="1"/>
  <c r="E85" i="1"/>
  <c r="E80" i="1" s="1"/>
  <c r="H83" i="1"/>
  <c r="G77" i="1"/>
  <c r="G72" i="1" s="1"/>
  <c r="H76" i="1"/>
  <c r="H73" i="1"/>
  <c r="F72" i="1"/>
  <c r="H70" i="1"/>
  <c r="E66" i="1"/>
  <c r="E60" i="1"/>
  <c r="G56" i="1"/>
  <c r="E56" i="1"/>
  <c r="E52" i="1"/>
  <c r="E48" i="1"/>
  <c r="E37" i="1"/>
  <c r="E33" i="1"/>
  <c r="G29" i="1"/>
  <c r="G25" i="1"/>
  <c r="E25" i="1"/>
  <c r="E21" i="1"/>
  <c r="F17" i="1"/>
  <c r="E17" i="1"/>
  <c r="E13" i="1"/>
  <c r="E11" i="1"/>
  <c r="H55" i="1" l="1"/>
  <c r="G108" i="1"/>
  <c r="G21" i="1"/>
  <c r="H40" i="1"/>
  <c r="G100" i="1"/>
  <c r="H20" i="1"/>
  <c r="G92" i="1"/>
  <c r="F21" i="1"/>
  <c r="H28" i="1"/>
  <c r="G48" i="1"/>
  <c r="G37" i="1"/>
  <c r="H111" i="1"/>
  <c r="H18" i="1"/>
  <c r="G60" i="1"/>
  <c r="F114" i="1"/>
  <c r="H61" i="1"/>
  <c r="F100" i="1"/>
  <c r="F96" i="1" s="1"/>
  <c r="H108" i="1"/>
  <c r="F37" i="1"/>
  <c r="H37" i="1" s="1"/>
  <c r="E15" i="1"/>
  <c r="G15" i="1"/>
  <c r="H81" i="1"/>
  <c r="H97" i="1"/>
  <c r="H100" i="1"/>
  <c r="E14" i="1"/>
  <c r="H42" i="1"/>
  <c r="F48" i="1"/>
  <c r="F39" i="1"/>
  <c r="H91" i="1"/>
  <c r="H92" i="1"/>
  <c r="H64" i="1"/>
  <c r="G116" i="1"/>
  <c r="H56" i="1"/>
  <c r="H53" i="1"/>
  <c r="F52" i="1"/>
  <c r="F29" i="1"/>
  <c r="H29" i="1" s="1"/>
  <c r="H113" i="1"/>
  <c r="H114" i="1"/>
  <c r="E10" i="1"/>
  <c r="H120" i="1"/>
  <c r="H21" i="1"/>
  <c r="F13" i="1"/>
  <c r="G11" i="1"/>
  <c r="I81" i="1" s="1"/>
  <c r="G13" i="1"/>
  <c r="I42" i="1" s="1"/>
  <c r="F25" i="1"/>
  <c r="H26" i="1"/>
  <c r="G33" i="1"/>
  <c r="F60" i="1"/>
  <c r="F66" i="1"/>
  <c r="G80" i="1"/>
  <c r="G88" i="1"/>
  <c r="F116" i="1"/>
  <c r="H117" i="1"/>
  <c r="G84" i="1"/>
  <c r="F84" i="1"/>
  <c r="F11" i="1"/>
  <c r="H34" i="1"/>
  <c r="G39" i="1"/>
  <c r="H89" i="1"/>
  <c r="G96" i="1"/>
  <c r="G104" i="1"/>
  <c r="H48" i="1" l="1"/>
  <c r="H84" i="1"/>
  <c r="G10" i="1"/>
  <c r="F10" i="1"/>
  <c r="F14" i="1"/>
  <c r="I97" i="1"/>
  <c r="I83" i="1"/>
  <c r="I91" i="1"/>
  <c r="I40" i="1"/>
  <c r="I36" i="1"/>
  <c r="I107" i="1"/>
  <c r="I73" i="1"/>
  <c r="I111" i="1"/>
  <c r="I53" i="1"/>
  <c r="I117" i="1"/>
  <c r="I67" i="1"/>
  <c r="I61" i="1"/>
  <c r="I26" i="1"/>
  <c r="H11" i="1"/>
  <c r="I18" i="1"/>
  <c r="I89" i="1"/>
  <c r="I34" i="1"/>
  <c r="I28" i="1"/>
  <c r="H13" i="1"/>
  <c r="I55" i="1"/>
  <c r="I20" i="1"/>
  <c r="I113" i="1"/>
  <c r="G14" i="1"/>
  <c r="I105" i="1"/>
  <c r="H14" i="1" l="1"/>
</calcChain>
</file>

<file path=xl/sharedStrings.xml><?xml version="1.0" encoding="utf-8"?>
<sst xmlns="http://schemas.openxmlformats.org/spreadsheetml/2006/main" count="186" uniqueCount="38">
  <si>
    <t>Приложение 2</t>
  </si>
  <si>
    <t>ИНФОРМАЦИЯ</t>
  </si>
  <si>
    <t>о степени освоения  средств в ходе реализации муниципальных программ за  2021 год</t>
  </si>
  <si>
    <t>№ п/п</t>
  </si>
  <si>
    <t>Наименование программы</t>
  </si>
  <si>
    <t>Источники ресурсного обеспечения</t>
  </si>
  <si>
    <t>ВСЕГО по программам:</t>
  </si>
  <si>
    <t>х</t>
  </si>
  <si>
    <t>бюджет округа, всего</t>
  </si>
  <si>
    <t>в том числе:</t>
  </si>
  <si>
    <t>средства краевого бюджета,</t>
  </si>
  <si>
    <t>средства  бюджета округа,</t>
  </si>
  <si>
    <t>средства участников программы</t>
  </si>
  <si>
    <t>из них по программам</t>
  </si>
  <si>
    <t xml:space="preserve"> "Развитие образования"</t>
  </si>
  <si>
    <t>юридические лица</t>
  </si>
  <si>
    <t>физические лица</t>
  </si>
  <si>
    <t>"Социальное развитие"</t>
  </si>
  <si>
    <t xml:space="preserve">средства участников программы: в т.ч. </t>
  </si>
  <si>
    <t>"Социальная поддержка граждан"</t>
  </si>
  <si>
    <t xml:space="preserve">средства участников программы </t>
  </si>
  <si>
    <t>"Развитие жилищно-коммунального хозяйства"</t>
  </si>
  <si>
    <t xml:space="preserve">"Культура Петровского городского округа Ставропольского края" </t>
  </si>
  <si>
    <t>"Управление финансами"</t>
  </si>
  <si>
    <t>"Управление имуществом"</t>
  </si>
  <si>
    <t>"Модернизация экономики и улучшение инвестиционного климата"</t>
  </si>
  <si>
    <t>"Развитие сельского хозяйства"</t>
  </si>
  <si>
    <t>средства участников программы: в т.ч.</t>
  </si>
  <si>
    <t>"Развитие градостроительства, строительства и архитектуры"</t>
  </si>
  <si>
    <t>"Формирование современной городской среды"</t>
  </si>
  <si>
    <t>"Межнациональные отношения, профилактика правонарушений, терроризма и поддержка казачества"</t>
  </si>
  <si>
    <t>"Развитие транспортной системы и обеспечение безопасности дорожного движения"</t>
  </si>
  <si>
    <t>"Совершенствование организации деятельности органов местного самоуправления"</t>
  </si>
  <si>
    <t xml:space="preserve">к сводному годовому докладу о ходе реализации и об оценке эффективности муниципальных программ Петровского городского округа Ставропольского края за 2022 год  </t>
  </si>
  <si>
    <t xml:space="preserve">   В % к сводной бюджетной росписи на 30 декабря                     2022 года</t>
  </si>
  <si>
    <t>Запланировано к финансированию Программой на                            2022 год,                      (тыс. руб.)</t>
  </si>
  <si>
    <t>Сводная бюджетная роспись на 30 декабря 2022 года,  (тыс. руб.)</t>
  </si>
  <si>
    <t>Кассовые расходы с начала текущего года,         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</si>
</sst>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1"/>
    </font>
    <font>
      <b/>
      <i/>
      <sz val="11"/>
      <name val="Calibri"/>
      <family val="2"/>
      <charset val="204"/>
    </font>
    <font>
      <sz val="11"/>
      <name val="Times New Roman"/>
      <family val="1"/>
      <charset val="1"/>
    </font>
    <font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6D9F1"/>
        <bgColor rgb="FFF2DCDB"/>
      </patternFill>
    </fill>
    <fill>
      <patternFill patternType="solid">
        <fgColor rgb="FF98EBFF"/>
        <bgColor rgb="FF9CF6DB"/>
      </patternFill>
    </fill>
    <fill>
      <patternFill patternType="solid">
        <fgColor rgb="FFF2DCDB"/>
        <bgColor rgb="FFC6D9F1"/>
      </patternFill>
    </fill>
    <fill>
      <patternFill patternType="solid">
        <fgColor rgb="FF9CF6DB"/>
        <bgColor rgb="FF98EBFF"/>
      </patternFill>
    </fill>
    <fill>
      <patternFill patternType="solid">
        <fgColor theme="3" tint="0.79998168889431442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/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1" xfId="0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4" fillId="2" borderId="1" xfId="0" applyFont="1" applyFill="1" applyBorder="1"/>
    <xf numFmtId="0" fontId="3" fillId="0" borderId="5" xfId="0" applyFont="1" applyBorder="1" applyAlignment="1">
      <alignment horizontal="center" vertical="center"/>
    </xf>
    <xf numFmtId="0" fontId="2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0" fontId="0" fillId="5" borderId="0" xfId="0" applyFill="1"/>
    <xf numFmtId="0" fontId="0" fillId="4" borderId="0" xfId="0" applyFill="1"/>
    <xf numFmtId="0" fontId="4" fillId="6" borderId="1" xfId="0" applyFont="1" applyFill="1" applyBorder="1"/>
    <xf numFmtId="0" fontId="3" fillId="7" borderId="1" xfId="0" applyFont="1" applyFill="1" applyBorder="1"/>
    <xf numFmtId="0" fontId="3" fillId="2" borderId="1" xfId="0" applyFont="1" applyFill="1" applyBorder="1"/>
    <xf numFmtId="4" fontId="6" fillId="2" borderId="4" xfId="0" applyNumberFormat="1" applyFont="1" applyFill="1" applyBorder="1" applyAlignment="1">
      <alignment horizontal="right" vertical="top"/>
    </xf>
    <xf numFmtId="0" fontId="3" fillId="2" borderId="5" xfId="0" applyFont="1" applyFill="1" applyBorder="1"/>
    <xf numFmtId="0" fontId="3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4" fontId="0" fillId="0" borderId="0" xfId="0" applyNumberFormat="1" applyBorder="1"/>
    <xf numFmtId="4" fontId="0" fillId="0" borderId="0" xfId="0" applyNumberFormat="1"/>
    <xf numFmtId="3" fontId="0" fillId="0" borderId="0" xfId="0" applyNumberFormat="1"/>
    <xf numFmtId="0" fontId="3" fillId="3" borderId="1" xfId="0" applyFont="1" applyFill="1" applyBorder="1" applyAlignment="1">
      <alignment horizontal="left" vertical="top" wrapText="1"/>
    </xf>
    <xf numFmtId="0" fontId="0" fillId="0" borderId="0" xfId="0" applyFill="1"/>
    <xf numFmtId="4" fontId="7" fillId="0" borderId="1" xfId="0" applyNumberFormat="1" applyFont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4" fontId="8" fillId="3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4" borderId="1" xfId="0" applyNumberFormat="1" applyFont="1" applyFill="1" applyBorder="1" applyAlignment="1">
      <alignment horizontal="right" vertical="top"/>
    </xf>
    <xf numFmtId="4" fontId="5" fillId="6" borderId="1" xfId="0" applyNumberFormat="1" applyFont="1" applyFill="1" applyBorder="1" applyAlignment="1">
      <alignment horizontal="right" vertical="top"/>
    </xf>
    <xf numFmtId="4" fontId="8" fillId="7" borderId="1" xfId="0" applyNumberFormat="1" applyFont="1" applyFill="1" applyBorder="1" applyAlignment="1">
      <alignment horizontal="right" vertical="top"/>
    </xf>
    <xf numFmtId="4" fontId="5" fillId="4" borderId="0" xfId="0" applyNumberFormat="1" applyFont="1" applyFill="1"/>
    <xf numFmtId="0" fontId="10" fillId="0" borderId="0" xfId="0" applyFont="1"/>
    <xf numFmtId="0" fontId="5" fillId="6" borderId="1" xfId="0" applyFont="1" applyFill="1" applyBorder="1" applyAlignment="1">
      <alignment horizontal="right" vertical="top"/>
    </xf>
    <xf numFmtId="4" fontId="11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164" fontId="8" fillId="3" borderId="1" xfId="0" applyNumberFormat="1" applyFont="1" applyFill="1" applyBorder="1" applyAlignment="1">
      <alignment horizontal="right" vertical="center"/>
    </xf>
    <xf numFmtId="4" fontId="10" fillId="0" borderId="0" xfId="0" applyNumberFormat="1" applyFont="1" applyAlignment="1">
      <alignment horizontal="right"/>
    </xf>
    <xf numFmtId="2" fontId="5" fillId="0" borderId="1" xfId="0" applyNumberFormat="1" applyFont="1" applyBorder="1" applyAlignment="1">
      <alignment horizontal="right" vertical="top"/>
    </xf>
    <xf numFmtId="2" fontId="5" fillId="4" borderId="1" xfId="0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right"/>
    </xf>
    <xf numFmtId="4" fontId="8" fillId="4" borderId="1" xfId="0" applyNumberFormat="1" applyFont="1" applyFill="1" applyBorder="1" applyAlignment="1">
      <alignment horizontal="right" vertical="top"/>
    </xf>
    <xf numFmtId="4" fontId="8" fillId="6" borderId="1" xfId="0" applyNumberFormat="1" applyFont="1" applyFill="1" applyBorder="1" applyAlignment="1">
      <alignment horizontal="right" vertical="top"/>
    </xf>
    <xf numFmtId="4" fontId="13" fillId="0" borderId="1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4" fontId="5" fillId="7" borderId="1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horizontal="right" vertical="center"/>
    </xf>
    <xf numFmtId="4" fontId="8" fillId="6" borderId="1" xfId="0" applyNumberFormat="1" applyFont="1" applyFill="1" applyBorder="1" applyAlignment="1">
      <alignment horizontal="right" vertical="center"/>
    </xf>
    <xf numFmtId="2" fontId="5" fillId="6" borderId="1" xfId="0" applyNumberFormat="1" applyFont="1" applyFill="1" applyBorder="1" applyAlignment="1">
      <alignment horizontal="right" vertical="top"/>
    </xf>
    <xf numFmtId="4" fontId="8" fillId="0" borderId="5" xfId="0" applyNumberFormat="1" applyFont="1" applyBorder="1" applyAlignment="1">
      <alignment horizontal="right" vertical="top"/>
    </xf>
    <xf numFmtId="4" fontId="8" fillId="3" borderId="1" xfId="0" applyNumberFormat="1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vertical="center"/>
    </xf>
    <xf numFmtId="4" fontId="5" fillId="8" borderId="1" xfId="0" applyNumberFormat="1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justify" wrapText="1"/>
    </xf>
    <xf numFmtId="0" fontId="2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CF6DB"/>
      <rgbColor rgb="FFFFFF99"/>
      <rgbColor rgb="FF98EB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2"/>
  <sheetViews>
    <sheetView tabSelected="1" topLeftCell="A102" workbookViewId="0">
      <selection activeCell="H116" sqref="H116"/>
    </sheetView>
  </sheetViews>
  <sheetFormatPr defaultRowHeight="15" x14ac:dyDescent="0.25"/>
  <cols>
    <col min="1" max="1" width="4.28515625" customWidth="1"/>
    <col min="2" max="2" width="5.85546875" style="1" customWidth="1"/>
    <col min="3" max="3" width="19.5703125" style="1" customWidth="1"/>
    <col min="4" max="4" width="31.7109375" customWidth="1"/>
    <col min="5" max="5" width="20.42578125" customWidth="1"/>
    <col min="6" max="6" width="15.7109375" customWidth="1"/>
    <col min="7" max="8" width="17.5703125" customWidth="1"/>
    <col min="9" max="9" width="11.28515625" style="2" hidden="1" customWidth="1"/>
    <col min="10" max="68" width="9.140625" style="2" customWidth="1"/>
    <col min="69" max="1026" width="8.7109375" customWidth="1"/>
  </cols>
  <sheetData>
    <row r="1" spans="2:8" x14ac:dyDescent="0.25">
      <c r="B1" s="3"/>
      <c r="C1" s="3"/>
      <c r="D1" s="4"/>
      <c r="E1" s="4"/>
      <c r="F1" s="4"/>
      <c r="G1" s="4"/>
      <c r="H1" s="4"/>
    </row>
    <row r="2" spans="2:8" x14ac:dyDescent="0.25">
      <c r="B2" s="3"/>
      <c r="C2" s="3"/>
      <c r="D2" s="4"/>
      <c r="E2" s="4"/>
      <c r="F2" s="4"/>
      <c r="G2" s="89" t="s">
        <v>0</v>
      </c>
      <c r="H2" s="89"/>
    </row>
    <row r="3" spans="2:8" ht="79.5" customHeight="1" x14ac:dyDescent="0.25">
      <c r="B3" s="3"/>
      <c r="C3" s="3"/>
      <c r="D3" s="4"/>
      <c r="E3" s="4"/>
      <c r="F3" s="4"/>
      <c r="G3" s="90" t="s">
        <v>33</v>
      </c>
      <c r="H3" s="90"/>
    </row>
    <row r="4" spans="2:8" x14ac:dyDescent="0.25">
      <c r="B4" s="3"/>
      <c r="C4" s="3"/>
      <c r="D4" s="4"/>
      <c r="E4" s="4"/>
      <c r="F4" s="4"/>
      <c r="G4" s="4"/>
      <c r="H4" s="4"/>
    </row>
    <row r="5" spans="2:8" x14ac:dyDescent="0.25">
      <c r="B5" s="3"/>
      <c r="C5" s="5"/>
      <c r="D5" s="6"/>
      <c r="E5" s="7" t="s">
        <v>1</v>
      </c>
      <c r="F5" s="8"/>
      <c r="G5" s="8"/>
      <c r="H5" s="8"/>
    </row>
    <row r="6" spans="2:8" ht="17.45" customHeight="1" x14ac:dyDescent="0.25">
      <c r="B6" s="3"/>
      <c r="C6" s="91" t="s">
        <v>2</v>
      </c>
      <c r="D6" s="91"/>
      <c r="E6" s="91"/>
      <c r="F6" s="91"/>
      <c r="G6" s="91"/>
      <c r="H6" s="91"/>
    </row>
    <row r="7" spans="2:8" x14ac:dyDescent="0.25">
      <c r="B7" s="3"/>
      <c r="C7" s="3"/>
      <c r="D7" s="4"/>
      <c r="E7" s="4"/>
      <c r="F7" s="4"/>
      <c r="G7" s="4"/>
      <c r="H7" s="4"/>
    </row>
    <row r="8" spans="2:8" ht="74.25" customHeight="1" x14ac:dyDescent="0.25">
      <c r="B8" s="9" t="s">
        <v>3</v>
      </c>
      <c r="C8" s="10" t="s">
        <v>4</v>
      </c>
      <c r="D8" s="10" t="s">
        <v>5</v>
      </c>
      <c r="E8" s="11" t="s">
        <v>35</v>
      </c>
      <c r="F8" s="11" t="s">
        <v>36</v>
      </c>
      <c r="G8" s="11" t="s">
        <v>37</v>
      </c>
      <c r="H8" s="11" t="s">
        <v>34</v>
      </c>
    </row>
    <row r="9" spans="2:8" x14ac:dyDescent="0.25">
      <c r="B9" s="9">
        <v>1</v>
      </c>
      <c r="C9" s="12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</row>
    <row r="10" spans="2:8" ht="33" customHeight="1" x14ac:dyDescent="0.25">
      <c r="B10" s="14"/>
      <c r="C10" s="15" t="s">
        <v>6</v>
      </c>
      <c r="D10" s="16"/>
      <c r="E10" s="53">
        <f t="shared" ref="E10:G11" si="0">E17+E25+E33+E39+E52+E60+E66+E72+E80+E88+E96+E104+E110+E116</f>
        <v>2894639.1100000003</v>
      </c>
      <c r="F10" s="53">
        <f t="shared" si="0"/>
        <v>3068279.1150199994</v>
      </c>
      <c r="G10" s="53">
        <f t="shared" si="0"/>
        <v>2835612.9984500003</v>
      </c>
      <c r="H10" s="53" t="s">
        <v>7</v>
      </c>
    </row>
    <row r="11" spans="2:8" x14ac:dyDescent="0.25">
      <c r="B11" s="17"/>
      <c r="C11" s="18"/>
      <c r="D11" s="16" t="s">
        <v>8</v>
      </c>
      <c r="E11" s="54">
        <f t="shared" si="0"/>
        <v>2857208.69</v>
      </c>
      <c r="F11" s="54">
        <f t="shared" si="0"/>
        <v>3068279.1150199994</v>
      </c>
      <c r="G11" s="54">
        <f t="shared" si="0"/>
        <v>2786111.7084500003</v>
      </c>
      <c r="H11" s="54">
        <f>G11/F11*100</f>
        <v>90.803724303023188</v>
      </c>
    </row>
    <row r="12" spans="2:8" x14ac:dyDescent="0.25">
      <c r="B12" s="17"/>
      <c r="C12" s="19"/>
      <c r="D12" s="20" t="s">
        <v>9</v>
      </c>
      <c r="E12" s="55"/>
      <c r="F12" s="55"/>
      <c r="G12" s="55"/>
      <c r="H12" s="55"/>
    </row>
    <row r="13" spans="2:8" ht="13.9" customHeight="1" x14ac:dyDescent="0.25">
      <c r="B13" s="21"/>
      <c r="C13" s="22"/>
      <c r="D13" s="23" t="s">
        <v>10</v>
      </c>
      <c r="E13" s="56">
        <f>E20+E28+E36+E42+E55+E63+E69+E75+E83+E91+E99+E107+E113+E119</f>
        <v>1792252.05</v>
      </c>
      <c r="F13" s="84">
        <f>F20+F28+F36+F42+F55+F63+F69+F75+F83+F91+F99+F107+F113+F119</f>
        <v>1938896.9611099998</v>
      </c>
      <c r="G13" s="56">
        <f>G20+G28+G36+G42+G55+G63+G69+G75+G83+G91+G99+G107+G113+G119</f>
        <v>1694919.8558100001</v>
      </c>
      <c r="H13" s="54">
        <f>G13/F13*100</f>
        <v>87.416705983162444</v>
      </c>
    </row>
    <row r="14" spans="2:8" x14ac:dyDescent="0.25">
      <c r="B14" s="21"/>
      <c r="C14" s="22"/>
      <c r="D14" s="23" t="s">
        <v>11</v>
      </c>
      <c r="E14" s="56">
        <f>E21+E29+E37+E48+E56+E64+E70+E76+E84+E92+E100+E108+E114+E120</f>
        <v>1062847.26</v>
      </c>
      <c r="F14" s="56">
        <f>F21+F29+F37+F48+F56+F64+F70+F76+F84+F92+F100+F108+F114+F120</f>
        <v>1129382.1556000002</v>
      </c>
      <c r="G14" s="56">
        <f>G21+G29+G37+G48+G56+G64+G70+G76+G84+G92+G100+G108+G114+G120</f>
        <v>1091191.8504700004</v>
      </c>
      <c r="H14" s="54">
        <f>G14/F14*100</f>
        <v>96.618478081964156</v>
      </c>
    </row>
    <row r="15" spans="2:8" x14ac:dyDescent="0.25">
      <c r="B15" s="17"/>
      <c r="C15" s="22"/>
      <c r="D15" s="16" t="s">
        <v>12</v>
      </c>
      <c r="E15" s="54">
        <f>E22+E30+E38+E49+E57+E65+E71+E77+E85+E93+E101+E109+E115+E121</f>
        <v>37430.42</v>
      </c>
      <c r="F15" s="54" t="s">
        <v>7</v>
      </c>
      <c r="G15" s="54">
        <f>G22+G30+G38+G49+G57+G65+G71+G77+G85+G93+G101+G109+G115+G121</f>
        <v>49501.289999999994</v>
      </c>
      <c r="H15" s="54" t="s">
        <v>7</v>
      </c>
    </row>
    <row r="16" spans="2:8" x14ac:dyDescent="0.25">
      <c r="B16" s="24"/>
      <c r="C16" s="22" t="s">
        <v>13</v>
      </c>
      <c r="D16" s="25"/>
      <c r="E16" s="52"/>
      <c r="F16" s="52"/>
      <c r="G16" s="52"/>
      <c r="H16" s="52"/>
    </row>
    <row r="17" spans="1:68" ht="30.75" customHeight="1" x14ac:dyDescent="0.25">
      <c r="B17" s="26">
        <v>1</v>
      </c>
      <c r="C17" s="50" t="s">
        <v>14</v>
      </c>
      <c r="D17" s="28"/>
      <c r="E17" s="57">
        <f>E18+E22</f>
        <v>1045866.67</v>
      </c>
      <c r="F17" s="57">
        <f>F18</f>
        <v>1123542.1465799999</v>
      </c>
      <c r="G17" s="57">
        <f>G18+G22</f>
        <v>1083567.9340000001</v>
      </c>
      <c r="H17" s="57" t="s">
        <v>7</v>
      </c>
    </row>
    <row r="18" spans="1:68" x14ac:dyDescent="0.25">
      <c r="B18" s="29"/>
      <c r="C18" s="30"/>
      <c r="D18" s="16" t="s">
        <v>8</v>
      </c>
      <c r="E18" s="58">
        <v>1045737.12</v>
      </c>
      <c r="F18" s="58">
        <f>1123542146.58/1000</f>
        <v>1123542.1465799999</v>
      </c>
      <c r="G18" s="58">
        <f>1083438384/1000</f>
        <v>1083438.3840000001</v>
      </c>
      <c r="H18" s="58">
        <f>G18/F18*100</f>
        <v>96.430595620994424</v>
      </c>
      <c r="I18" s="2">
        <f>G18/G11*100</f>
        <v>38.887112125261844</v>
      </c>
    </row>
    <row r="19" spans="1:68" x14ac:dyDescent="0.25">
      <c r="B19" s="31"/>
      <c r="C19" s="32"/>
      <c r="D19" s="20" t="s">
        <v>9</v>
      </c>
      <c r="E19" s="59"/>
      <c r="F19" s="59"/>
      <c r="G19" s="59"/>
      <c r="H19" s="59"/>
    </row>
    <row r="20" spans="1:68" s="37" customFormat="1" x14ac:dyDescent="0.25">
      <c r="A20" s="51"/>
      <c r="B20" s="33"/>
      <c r="C20" s="34"/>
      <c r="D20" s="35" t="s">
        <v>10</v>
      </c>
      <c r="E20" s="60">
        <v>562316.9</v>
      </c>
      <c r="F20" s="63">
        <f>(180888170.7+208050+371973226.7+18482953+22512000.4+2181750+11242251.69+1445920.66+1447618.28+135000+3778921.47+0)/1000</f>
        <v>614295.86289999995</v>
      </c>
      <c r="G20" s="60">
        <f>(180470429.79+208050+368884722.54+10639998.54+5424699.8+2181750+11242251.69+1445920.66+1447618.28+135000+3776018.42+0)/1000</f>
        <v>585856.45971999993</v>
      </c>
      <c r="H20" s="60">
        <f>G20/F20*100</f>
        <v>95.370406200402883</v>
      </c>
      <c r="I20" s="36">
        <f>G20/G13*100</f>
        <v>34.565437280809945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</row>
    <row r="21" spans="1:68" x14ac:dyDescent="0.25">
      <c r="B21" s="33"/>
      <c r="C21" s="34"/>
      <c r="D21" s="38" t="s">
        <v>11</v>
      </c>
      <c r="E21" s="61">
        <f>E18-E20</f>
        <v>483420.22</v>
      </c>
      <c r="F21" s="61">
        <f>F18-F20</f>
        <v>509246.28367999999</v>
      </c>
      <c r="G21" s="61">
        <f>G18-G20</f>
        <v>497581.92428000015</v>
      </c>
      <c r="H21" s="61">
        <f>G21/F21*100</f>
        <v>97.709485611616259</v>
      </c>
    </row>
    <row r="22" spans="1:68" x14ac:dyDescent="0.25">
      <c r="B22" s="31"/>
      <c r="C22" s="32"/>
      <c r="D22" s="39" t="s">
        <v>12</v>
      </c>
      <c r="E22" s="62">
        <v>129.55000000000001</v>
      </c>
      <c r="F22" s="62" t="s">
        <v>7</v>
      </c>
      <c r="G22" s="62">
        <v>129.55000000000001</v>
      </c>
      <c r="H22" s="62" t="s">
        <v>7</v>
      </c>
    </row>
    <row r="23" spans="1:68" x14ac:dyDescent="0.25">
      <c r="B23" s="31"/>
      <c r="C23" s="32"/>
      <c r="D23" s="20" t="s">
        <v>15</v>
      </c>
      <c r="E23" s="59">
        <v>0</v>
      </c>
      <c r="F23" s="59" t="s">
        <v>7</v>
      </c>
      <c r="G23" s="59">
        <v>0</v>
      </c>
      <c r="H23" s="54"/>
    </row>
    <row r="24" spans="1:68" x14ac:dyDescent="0.25">
      <c r="B24" s="31"/>
      <c r="C24" s="32"/>
      <c r="D24" s="20" t="s">
        <v>16</v>
      </c>
      <c r="E24" s="59">
        <v>129.55000000000001</v>
      </c>
      <c r="F24" s="59" t="s">
        <v>7</v>
      </c>
      <c r="G24" s="59">
        <v>129.55000000000001</v>
      </c>
      <c r="H24" s="54"/>
    </row>
    <row r="25" spans="1:68" ht="29.25" customHeight="1" x14ac:dyDescent="0.25">
      <c r="B25" s="26">
        <v>2</v>
      </c>
      <c r="C25" s="50" t="s">
        <v>17</v>
      </c>
      <c r="D25" s="28"/>
      <c r="E25" s="57">
        <f>E26+E30</f>
        <v>57414.700000000004</v>
      </c>
      <c r="F25" s="57">
        <f>F26</f>
        <v>60209.07314</v>
      </c>
      <c r="G25" s="57">
        <f>G26+G30</f>
        <v>58020.378859999997</v>
      </c>
      <c r="H25" s="57" t="s">
        <v>7</v>
      </c>
    </row>
    <row r="26" spans="1:68" x14ac:dyDescent="0.25">
      <c r="B26" s="29"/>
      <c r="C26" s="30"/>
      <c r="D26" s="40" t="s">
        <v>8</v>
      </c>
      <c r="E26" s="64">
        <v>56948.9</v>
      </c>
      <c r="F26" s="58">
        <f>60209073.14/1000</f>
        <v>60209.07314</v>
      </c>
      <c r="G26" s="58">
        <f>57425488.86/1000</f>
        <v>57425.488859999998</v>
      </c>
      <c r="H26" s="54">
        <f>G26/F26*100</f>
        <v>95.376802639815551</v>
      </c>
      <c r="I26" s="2">
        <f>G26/G11*100</f>
        <v>2.061133754466276</v>
      </c>
    </row>
    <row r="27" spans="1:68" x14ac:dyDescent="0.25">
      <c r="B27" s="31"/>
      <c r="C27" s="32"/>
      <c r="D27" s="20" t="s">
        <v>9</v>
      </c>
      <c r="E27" s="59"/>
      <c r="F27" s="59"/>
      <c r="G27" s="59"/>
      <c r="H27" s="59"/>
    </row>
    <row r="28" spans="1:68" s="37" customFormat="1" x14ac:dyDescent="0.25">
      <c r="A28" s="51"/>
      <c r="B28" s="33"/>
      <c r="C28" s="34"/>
      <c r="D28" s="35" t="s">
        <v>10</v>
      </c>
      <c r="E28" s="60">
        <v>17479.96</v>
      </c>
      <c r="F28" s="60">
        <f>(1720129.31+12361108.76+3032900.98)/1000</f>
        <v>17114.139050000002</v>
      </c>
      <c r="G28" s="60">
        <f>(1720129.31+11208078.78+3032900.98)/1000</f>
        <v>15961.10907</v>
      </c>
      <c r="H28" s="60">
        <f>G28/F28*100</f>
        <v>93.262705318500963</v>
      </c>
      <c r="I28" s="36">
        <f>G28/G13*100</f>
        <v>0.94170287847458156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</row>
    <row r="29" spans="1:68" x14ac:dyDescent="0.25">
      <c r="B29" s="33"/>
      <c r="C29" s="34"/>
      <c r="D29" s="38" t="s">
        <v>11</v>
      </c>
      <c r="E29" s="65">
        <v>39468.94</v>
      </c>
      <c r="F29" s="61">
        <f>F26-F28</f>
        <v>43094.934089999995</v>
      </c>
      <c r="G29" s="61">
        <f>G26-G28</f>
        <v>41464.379789999999</v>
      </c>
      <c r="H29" s="61">
        <f>G29/F29*100</f>
        <v>96.216366646263509</v>
      </c>
    </row>
    <row r="30" spans="1:68" x14ac:dyDescent="0.25">
      <c r="B30" s="31"/>
      <c r="C30" s="32"/>
      <c r="D30" s="39" t="s">
        <v>18</v>
      </c>
      <c r="E30" s="62">
        <v>465.8</v>
      </c>
      <c r="F30" s="62" t="s">
        <v>7</v>
      </c>
      <c r="G30" s="62">
        <f>G31+G32</f>
        <v>594.89</v>
      </c>
      <c r="H30" s="62" t="s">
        <v>7</v>
      </c>
    </row>
    <row r="31" spans="1:68" x14ac:dyDescent="0.25">
      <c r="B31" s="31"/>
      <c r="C31" s="32"/>
      <c r="D31" s="20" t="s">
        <v>15</v>
      </c>
      <c r="E31" s="59">
        <v>0</v>
      </c>
      <c r="F31" s="59" t="s">
        <v>7</v>
      </c>
      <c r="G31" s="59">
        <v>0</v>
      </c>
      <c r="H31" s="54"/>
    </row>
    <row r="32" spans="1:68" x14ac:dyDescent="0.25">
      <c r="B32" s="31"/>
      <c r="C32" s="32"/>
      <c r="D32" s="20" t="s">
        <v>16</v>
      </c>
      <c r="E32" s="59">
        <v>465.8</v>
      </c>
      <c r="F32" s="59" t="s">
        <v>7</v>
      </c>
      <c r="G32" s="59">
        <v>594.89</v>
      </c>
      <c r="H32" s="54"/>
    </row>
    <row r="33" spans="1:68" ht="36" customHeight="1" x14ac:dyDescent="0.25">
      <c r="B33" s="26">
        <v>3</v>
      </c>
      <c r="C33" s="27" t="s">
        <v>19</v>
      </c>
      <c r="D33" s="28"/>
      <c r="E33" s="57">
        <f>E34</f>
        <v>622273.15</v>
      </c>
      <c r="F33" s="57">
        <f>F34</f>
        <v>693880.47979999997</v>
      </c>
      <c r="G33" s="57">
        <f>G34</f>
        <v>693481.94365000003</v>
      </c>
      <c r="H33" s="57" t="s">
        <v>7</v>
      </c>
    </row>
    <row r="34" spans="1:68" x14ac:dyDescent="0.25">
      <c r="B34" s="29"/>
      <c r="C34" s="30"/>
      <c r="D34" s="40" t="s">
        <v>8</v>
      </c>
      <c r="E34" s="58">
        <v>622273.15</v>
      </c>
      <c r="F34" s="58">
        <f>693880479.8/1000</f>
        <v>693880.47979999997</v>
      </c>
      <c r="G34" s="58">
        <f>693481943.65/1000</f>
        <v>693481.94365000003</v>
      </c>
      <c r="H34" s="54">
        <f>G34/F34*100</f>
        <v>99.942564150224428</v>
      </c>
      <c r="I34" s="2">
        <f>G34/G11*100</f>
        <v>24.89067260105681</v>
      </c>
    </row>
    <row r="35" spans="1:68" x14ac:dyDescent="0.25">
      <c r="B35" s="31"/>
      <c r="C35" s="32"/>
      <c r="D35" s="20" t="s">
        <v>9</v>
      </c>
      <c r="E35" s="59"/>
      <c r="F35" s="59"/>
      <c r="G35" s="59"/>
      <c r="H35" s="59"/>
    </row>
    <row r="36" spans="1:68" s="37" customFormat="1" x14ac:dyDescent="0.25">
      <c r="A36" s="51"/>
      <c r="B36" s="33"/>
      <c r="C36" s="34"/>
      <c r="D36" s="35" t="s">
        <v>10</v>
      </c>
      <c r="E36" s="60">
        <v>622181.07999999996</v>
      </c>
      <c r="F36" s="60">
        <f>(74851423.09+487063628.99+50825531.99+54020241.67+27027584.06)/1000</f>
        <v>693788.40979999991</v>
      </c>
      <c r="G36" s="60">
        <f>(74851209.38+486721387.2+50825438.93+54020241.67+27027210.47)/1000</f>
        <v>693445.48764999991</v>
      </c>
      <c r="H36" s="60">
        <f>G36/F36*100</f>
        <v>99.950572516756381</v>
      </c>
      <c r="I36" s="36">
        <f>G36/G13*100</f>
        <v>40.913172695035968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</row>
    <row r="37" spans="1:68" x14ac:dyDescent="0.25">
      <c r="B37" s="33"/>
      <c r="C37" s="34"/>
      <c r="D37" s="38" t="s">
        <v>11</v>
      </c>
      <c r="E37" s="61">
        <f>E34-E36</f>
        <v>92.070000000065193</v>
      </c>
      <c r="F37" s="61">
        <f>F34-F36</f>
        <v>92.070000000065193</v>
      </c>
      <c r="G37" s="61">
        <f>G34-G36</f>
        <v>36.456000000122003</v>
      </c>
      <c r="H37" s="61">
        <f>G37/F37*100</f>
        <v>39.59595959606407</v>
      </c>
    </row>
    <row r="38" spans="1:68" x14ac:dyDescent="0.25">
      <c r="B38" s="31"/>
      <c r="C38" s="32"/>
      <c r="D38" s="39" t="s">
        <v>20</v>
      </c>
      <c r="E38" s="62">
        <v>0</v>
      </c>
      <c r="F38" s="62" t="s">
        <v>7</v>
      </c>
      <c r="G38" s="62">
        <v>0</v>
      </c>
      <c r="H38" s="62">
        <v>0</v>
      </c>
    </row>
    <row r="39" spans="1:68" ht="45.75" customHeight="1" x14ac:dyDescent="0.25">
      <c r="B39" s="26">
        <v>4</v>
      </c>
      <c r="C39" s="50" t="s">
        <v>21</v>
      </c>
      <c r="D39" s="28"/>
      <c r="E39" s="57">
        <f>E40+E49</f>
        <v>120203.14</v>
      </c>
      <c r="F39" s="57">
        <f>F40</f>
        <v>109165.73063999999</v>
      </c>
      <c r="G39" s="57">
        <f>G40+G49</f>
        <v>129119.5151</v>
      </c>
      <c r="H39" s="57" t="s">
        <v>7</v>
      </c>
    </row>
    <row r="40" spans="1:68" x14ac:dyDescent="0.25">
      <c r="B40" s="29"/>
      <c r="C40" s="30"/>
      <c r="D40" s="40" t="s">
        <v>8</v>
      </c>
      <c r="E40" s="75">
        <v>96748.98</v>
      </c>
      <c r="F40" s="58">
        <f>109165730.64/1000</f>
        <v>109165.73063999999</v>
      </c>
      <c r="G40" s="58">
        <f>105665355.1/1000</f>
        <v>105665.3551</v>
      </c>
      <c r="H40" s="54">
        <f>G40/F40*100</f>
        <v>96.793521630388469</v>
      </c>
      <c r="I40" s="2">
        <f>G40/G11*100</f>
        <v>3.7925742453013447</v>
      </c>
    </row>
    <row r="41" spans="1:68" x14ac:dyDescent="0.25">
      <c r="B41" s="31"/>
      <c r="C41" s="32"/>
      <c r="D41" s="20" t="s">
        <v>9</v>
      </c>
      <c r="E41" s="76"/>
      <c r="F41" s="59"/>
      <c r="G41" s="59"/>
      <c r="H41" s="59"/>
    </row>
    <row r="42" spans="1:68" s="37" customFormat="1" x14ac:dyDescent="0.25">
      <c r="A42" s="51"/>
      <c r="B42" s="33"/>
      <c r="C42" s="34"/>
      <c r="D42" s="35" t="s">
        <v>10</v>
      </c>
      <c r="E42" s="60">
        <v>15149.09</v>
      </c>
      <c r="F42" s="60">
        <f>(829812.1+3820343.25+10319283.29+1018952.43)/1000</f>
        <v>15988.391069999998</v>
      </c>
      <c r="G42" s="60">
        <f>(829499.85+3820343.25+10319283.29+1018952.43)/1000</f>
        <v>15988.078819999999</v>
      </c>
      <c r="H42" s="73">
        <f>G42/F42*100</f>
        <v>99.998047020499854</v>
      </c>
      <c r="I42" s="36">
        <f>G42/G13*100</f>
        <v>0.94329408940455861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</row>
    <row r="43" spans="1:68" hidden="1" x14ac:dyDescent="0.25">
      <c r="B43" s="33"/>
      <c r="C43" s="34"/>
      <c r="D43" s="23"/>
      <c r="E43" s="56"/>
      <c r="F43" s="56"/>
      <c r="G43" s="56"/>
      <c r="H43" s="56"/>
    </row>
    <row r="44" spans="1:68" hidden="1" x14ac:dyDescent="0.25">
      <c r="B44" s="33"/>
      <c r="C44" s="34"/>
      <c r="D44" s="23"/>
      <c r="E44" s="56"/>
      <c r="F44" s="56"/>
      <c r="G44" s="56"/>
      <c r="H44" s="56"/>
    </row>
    <row r="45" spans="1:68" hidden="1" x14ac:dyDescent="0.25">
      <c r="B45" s="33"/>
      <c r="C45" s="34"/>
      <c r="D45" s="23"/>
      <c r="E45" s="56"/>
      <c r="F45" s="56"/>
      <c r="G45" s="56"/>
      <c r="H45" s="56"/>
    </row>
    <row r="46" spans="1:68" ht="15.75" hidden="1" x14ac:dyDescent="0.25">
      <c r="B46" s="33"/>
      <c r="C46" s="34"/>
      <c r="D46" s="23"/>
      <c r="E46" s="56"/>
      <c r="F46" s="56"/>
      <c r="G46" s="56"/>
      <c r="H46" s="56"/>
      <c r="I46" s="41">
        <v>107636.97</v>
      </c>
    </row>
    <row r="47" spans="1:68" ht="15.75" hidden="1" x14ac:dyDescent="0.25">
      <c r="B47" s="33"/>
      <c r="C47" s="34"/>
      <c r="D47" s="23"/>
      <c r="E47" s="56"/>
      <c r="F47" s="56"/>
      <c r="G47" s="56"/>
      <c r="H47" s="56"/>
      <c r="I47" s="41">
        <v>376000</v>
      </c>
    </row>
    <row r="48" spans="1:68" x14ac:dyDescent="0.25">
      <c r="B48" s="33"/>
      <c r="C48" s="34"/>
      <c r="D48" s="38" t="s">
        <v>11</v>
      </c>
      <c r="E48" s="61">
        <f>E40-E42</f>
        <v>81599.89</v>
      </c>
      <c r="F48" s="61">
        <f>F40-F42</f>
        <v>93177.339569999996</v>
      </c>
      <c r="G48" s="61">
        <f>G40-G42</f>
        <v>89677.276280000005</v>
      </c>
      <c r="H48" s="74">
        <f>G48/F48*100</f>
        <v>96.243653976221822</v>
      </c>
    </row>
    <row r="49" spans="1:68" x14ac:dyDescent="0.25">
      <c r="B49" s="31"/>
      <c r="C49" s="32"/>
      <c r="D49" s="39" t="s">
        <v>18</v>
      </c>
      <c r="E49" s="77">
        <f>E50+E51</f>
        <v>23454.16</v>
      </c>
      <c r="F49" s="62" t="s">
        <v>7</v>
      </c>
      <c r="G49" s="62">
        <f>G50+G51</f>
        <v>23454.16</v>
      </c>
      <c r="H49" s="62" t="s">
        <v>7</v>
      </c>
    </row>
    <row r="50" spans="1:68" x14ac:dyDescent="0.25">
      <c r="B50" s="31"/>
      <c r="C50" s="32"/>
      <c r="D50" s="20" t="s">
        <v>15</v>
      </c>
      <c r="E50" s="59">
        <v>0</v>
      </c>
      <c r="F50" s="59" t="s">
        <v>7</v>
      </c>
      <c r="G50" s="59">
        <v>0</v>
      </c>
      <c r="H50" s="59" t="s">
        <v>7</v>
      </c>
    </row>
    <row r="51" spans="1:68" x14ac:dyDescent="0.25">
      <c r="B51" s="31"/>
      <c r="C51" s="32"/>
      <c r="D51" s="20" t="s">
        <v>16</v>
      </c>
      <c r="E51" s="59">
        <v>23454.16</v>
      </c>
      <c r="F51" s="59" t="s">
        <v>7</v>
      </c>
      <c r="G51" s="59">
        <v>23454.16</v>
      </c>
      <c r="H51" s="59" t="s">
        <v>7</v>
      </c>
    </row>
    <row r="52" spans="1:68" ht="66" customHeight="1" x14ac:dyDescent="0.25">
      <c r="B52" s="26">
        <v>5</v>
      </c>
      <c r="C52" s="50" t="s">
        <v>22</v>
      </c>
      <c r="D52" s="28"/>
      <c r="E52" s="57">
        <f>E53+E57</f>
        <v>359789.72</v>
      </c>
      <c r="F52" s="57">
        <f>F53</f>
        <v>371246.31795</v>
      </c>
      <c r="G52" s="57">
        <f>G53+G57</f>
        <v>335747.91915999999</v>
      </c>
      <c r="H52" s="57" t="s">
        <v>7</v>
      </c>
    </row>
    <row r="53" spans="1:68" x14ac:dyDescent="0.25">
      <c r="B53" s="29"/>
      <c r="C53" s="30"/>
      <c r="D53" s="40" t="s">
        <v>8</v>
      </c>
      <c r="E53" s="66">
        <v>359571.62</v>
      </c>
      <c r="F53" s="58">
        <f>371246317.95/1000</f>
        <v>371246.31795</v>
      </c>
      <c r="G53" s="58">
        <f>335529819.16/1000</f>
        <v>335529.81916000001</v>
      </c>
      <c r="H53" s="54">
        <f>G53/F53*100</f>
        <v>90.379298847400193</v>
      </c>
      <c r="I53" s="2">
        <f>G53/G11*100</f>
        <v>12.04294207380025</v>
      </c>
    </row>
    <row r="54" spans="1:68" x14ac:dyDescent="0.25">
      <c r="B54" s="31"/>
      <c r="C54" s="32"/>
      <c r="D54" s="20" t="s">
        <v>9</v>
      </c>
      <c r="E54" s="67"/>
      <c r="F54" s="59"/>
      <c r="G54" s="59"/>
      <c r="H54" s="59"/>
    </row>
    <row r="55" spans="1:68" s="37" customFormat="1" x14ac:dyDescent="0.25">
      <c r="A55" s="51"/>
      <c r="B55" s="33"/>
      <c r="C55" s="34"/>
      <c r="D55" s="35" t="s">
        <v>10</v>
      </c>
      <c r="E55" s="60">
        <v>183400.59</v>
      </c>
      <c r="F55" s="60">
        <f>(1229300+152508204.1+417260.99+150000+3590099.01+0+25233198.51+252525.25)/1000</f>
        <v>183380.58785999997</v>
      </c>
      <c r="G55" s="60">
        <f>(1229300+123408658.35+417260.99+147122.55+3590099.01+0+25233198.51+252525.25)/1000</f>
        <v>154278.16466000001</v>
      </c>
      <c r="H55" s="60">
        <f>G55/F55*100</f>
        <v>84.130041494785743</v>
      </c>
      <c r="I55" s="36">
        <f>G55/G13*100</f>
        <v>9.1023870026155702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</row>
    <row r="56" spans="1:68" x14ac:dyDescent="0.25">
      <c r="B56" s="33"/>
      <c r="C56" s="34"/>
      <c r="D56" s="38" t="s">
        <v>11</v>
      </c>
      <c r="E56" s="61">
        <f>E53-E55</f>
        <v>176171.03</v>
      </c>
      <c r="F56" s="61">
        <f>F53-F55</f>
        <v>187865.73009000003</v>
      </c>
      <c r="G56" s="61">
        <f>G53-G55</f>
        <v>181251.6545</v>
      </c>
      <c r="H56" s="61">
        <f>G56/F56*100</f>
        <v>96.479360239447914</v>
      </c>
    </row>
    <row r="57" spans="1:68" x14ac:dyDescent="0.25">
      <c r="B57" s="31"/>
      <c r="C57" s="32"/>
      <c r="D57" s="39" t="s">
        <v>18</v>
      </c>
      <c r="E57" s="62">
        <v>218.1</v>
      </c>
      <c r="F57" s="62" t="s">
        <v>7</v>
      </c>
      <c r="G57" s="62">
        <v>218.1</v>
      </c>
      <c r="H57" s="62" t="s">
        <v>7</v>
      </c>
    </row>
    <row r="58" spans="1:68" x14ac:dyDescent="0.25">
      <c r="B58" s="31"/>
      <c r="C58" s="32"/>
      <c r="D58" s="20" t="s">
        <v>15</v>
      </c>
      <c r="E58" s="54">
        <v>0</v>
      </c>
      <c r="F58" s="59" t="s">
        <v>7</v>
      </c>
      <c r="G58" s="59">
        <v>0</v>
      </c>
      <c r="H58" s="59" t="s">
        <v>7</v>
      </c>
    </row>
    <row r="59" spans="1:68" x14ac:dyDescent="0.25">
      <c r="B59" s="31"/>
      <c r="C59" s="32"/>
      <c r="D59" s="20" t="s">
        <v>16</v>
      </c>
      <c r="E59" s="54">
        <v>218.1</v>
      </c>
      <c r="F59" s="59" t="s">
        <v>7</v>
      </c>
      <c r="G59" s="59">
        <v>218.1</v>
      </c>
      <c r="H59" s="59" t="s">
        <v>7</v>
      </c>
    </row>
    <row r="60" spans="1:68" ht="39" customHeight="1" x14ac:dyDescent="0.25">
      <c r="B60" s="26">
        <v>6</v>
      </c>
      <c r="C60" s="50" t="s">
        <v>23</v>
      </c>
      <c r="D60" s="28"/>
      <c r="E60" s="57">
        <f>E61+E65</f>
        <v>64753.47</v>
      </c>
      <c r="F60" s="57">
        <f>F61</f>
        <v>56319.746279999999</v>
      </c>
      <c r="G60" s="57">
        <f>G61</f>
        <v>55783.149400000002</v>
      </c>
      <c r="H60" s="57" t="s">
        <v>7</v>
      </c>
    </row>
    <row r="61" spans="1:68" x14ac:dyDescent="0.25">
      <c r="B61" s="29"/>
      <c r="C61" s="30"/>
      <c r="D61" s="40" t="s">
        <v>8</v>
      </c>
      <c r="E61" s="72">
        <v>64753.47</v>
      </c>
      <c r="F61" s="58">
        <f>56319746.28/1000</f>
        <v>56319.746279999999</v>
      </c>
      <c r="G61" s="58">
        <f>55783149.4/1000</f>
        <v>55783.149400000002</v>
      </c>
      <c r="H61" s="54">
        <f>G61/F61*100</f>
        <v>99.047231361213449</v>
      </c>
      <c r="I61" s="2">
        <f>G61/G11*100</f>
        <v>2.002186388679795</v>
      </c>
    </row>
    <row r="62" spans="1:68" x14ac:dyDescent="0.25">
      <c r="B62" s="31"/>
      <c r="C62" s="32"/>
      <c r="D62" s="20" t="s">
        <v>9</v>
      </c>
      <c r="E62" s="59"/>
      <c r="F62" s="59"/>
      <c r="G62" s="59"/>
      <c r="H62" s="59"/>
    </row>
    <row r="63" spans="1:68" s="37" customFormat="1" x14ac:dyDescent="0.25">
      <c r="A63" s="51"/>
      <c r="B63" s="33"/>
      <c r="C63" s="34"/>
      <c r="D63" s="35" t="s">
        <v>10</v>
      </c>
      <c r="E63" s="60">
        <v>0</v>
      </c>
      <c r="F63" s="60">
        <v>0</v>
      </c>
      <c r="G63" s="60">
        <v>0</v>
      </c>
      <c r="H63" s="60">
        <v>0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</row>
    <row r="64" spans="1:68" x14ac:dyDescent="0.25">
      <c r="B64" s="33"/>
      <c r="C64" s="34"/>
      <c r="D64" s="38" t="s">
        <v>11</v>
      </c>
      <c r="E64" s="61">
        <f>E61-E63</f>
        <v>64753.47</v>
      </c>
      <c r="F64" s="61">
        <f>F61-F63</f>
        <v>56319.746279999999</v>
      </c>
      <c r="G64" s="61">
        <f>G61-G63</f>
        <v>55783.149400000002</v>
      </c>
      <c r="H64" s="61">
        <f>G64/F64*100</f>
        <v>99.047231361213449</v>
      </c>
    </row>
    <row r="65" spans="1:68" x14ac:dyDescent="0.25">
      <c r="B65" s="31"/>
      <c r="C65" s="32"/>
      <c r="D65" s="39" t="s">
        <v>18</v>
      </c>
      <c r="E65" s="62">
        <v>0</v>
      </c>
      <c r="F65" s="62" t="s">
        <v>7</v>
      </c>
      <c r="G65" s="62">
        <v>0</v>
      </c>
      <c r="H65" s="62" t="s">
        <v>7</v>
      </c>
    </row>
    <row r="66" spans="1:68" ht="39" customHeight="1" x14ac:dyDescent="0.25">
      <c r="B66" s="26">
        <v>7</v>
      </c>
      <c r="C66" s="50" t="s">
        <v>24</v>
      </c>
      <c r="D66" s="28"/>
      <c r="E66" s="82">
        <f>E67+E69+E71</f>
        <v>46791.15</v>
      </c>
      <c r="F66" s="82">
        <f>F67</f>
        <v>53501.298310000006</v>
      </c>
      <c r="G66" s="82">
        <f>G67</f>
        <v>52526.132170000004</v>
      </c>
      <c r="H66" s="57" t="s">
        <v>7</v>
      </c>
    </row>
    <row r="67" spans="1:68" x14ac:dyDescent="0.25">
      <c r="B67" s="29"/>
      <c r="C67" s="30"/>
      <c r="D67" s="40" t="s">
        <v>8</v>
      </c>
      <c r="E67" s="58">
        <v>46791.15</v>
      </c>
      <c r="F67" s="58">
        <f>53501298.31/1000</f>
        <v>53501.298310000006</v>
      </c>
      <c r="G67" s="58">
        <f>52526132.17/1000</f>
        <v>52526.132170000004</v>
      </c>
      <c r="H67" s="54">
        <f>G67/F67*100</f>
        <v>98.177303783639715</v>
      </c>
      <c r="I67" s="2">
        <f>G67/G11*100</f>
        <v>1.8852844992070295</v>
      </c>
    </row>
    <row r="68" spans="1:68" x14ac:dyDescent="0.25">
      <c r="B68" s="31"/>
      <c r="C68" s="32"/>
      <c r="D68" s="20" t="s">
        <v>9</v>
      </c>
      <c r="E68" s="59"/>
      <c r="F68" s="59"/>
      <c r="G68" s="59"/>
      <c r="H68" s="59"/>
    </row>
    <row r="69" spans="1:68" s="37" customFormat="1" x14ac:dyDescent="0.25">
      <c r="A69" s="51"/>
      <c r="B69" s="33"/>
      <c r="C69" s="34"/>
      <c r="D69" s="35" t="s">
        <v>10</v>
      </c>
      <c r="E69" s="60">
        <v>0</v>
      </c>
      <c r="F69" s="60">
        <v>0</v>
      </c>
      <c r="G69" s="60">
        <v>0</v>
      </c>
      <c r="H69" s="60">
        <v>0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</row>
    <row r="70" spans="1:68" x14ac:dyDescent="0.25">
      <c r="B70" s="33"/>
      <c r="C70" s="34"/>
      <c r="D70" s="38" t="s">
        <v>11</v>
      </c>
      <c r="E70" s="61">
        <v>46791.15</v>
      </c>
      <c r="F70" s="61">
        <v>53501.3</v>
      </c>
      <c r="G70" s="61">
        <v>52526.13</v>
      </c>
      <c r="H70" s="83">
        <f>G70/F70*100</f>
        <v>98.177296626437112</v>
      </c>
    </row>
    <row r="71" spans="1:68" x14ac:dyDescent="0.25">
      <c r="B71" s="31"/>
      <c r="C71" s="32"/>
      <c r="D71" s="39" t="s">
        <v>12</v>
      </c>
      <c r="E71" s="62">
        <v>0</v>
      </c>
      <c r="F71" s="62" t="s">
        <v>7</v>
      </c>
      <c r="G71" s="62">
        <v>0</v>
      </c>
      <c r="H71" s="62">
        <v>0</v>
      </c>
    </row>
    <row r="72" spans="1:68" ht="72" customHeight="1" x14ac:dyDescent="0.25">
      <c r="B72" s="26">
        <v>8</v>
      </c>
      <c r="C72" s="50" t="s">
        <v>25</v>
      </c>
      <c r="D72" s="28"/>
      <c r="E72" s="57">
        <f>E73+E77</f>
        <v>1248</v>
      </c>
      <c r="F72" s="57">
        <f>F73</f>
        <v>306.27999999999997</v>
      </c>
      <c r="G72" s="57">
        <f>G73+G77</f>
        <v>7410.25</v>
      </c>
      <c r="H72" s="57" t="s">
        <v>7</v>
      </c>
    </row>
    <row r="73" spans="1:68" x14ac:dyDescent="0.25">
      <c r="B73" s="86"/>
      <c r="C73" s="92"/>
      <c r="D73" s="42" t="s">
        <v>8</v>
      </c>
      <c r="E73" s="81">
        <v>390</v>
      </c>
      <c r="F73" s="81">
        <f>F75+F76</f>
        <v>306.27999999999997</v>
      </c>
      <c r="G73" s="81">
        <f>G75+G76</f>
        <v>94.41</v>
      </c>
      <c r="H73" s="54">
        <f>G73/F73*100</f>
        <v>30.824735536110747</v>
      </c>
      <c r="I73" s="2">
        <f>G73/G11*100</f>
        <v>3.3885934908375655E-3</v>
      </c>
    </row>
    <row r="74" spans="1:68" x14ac:dyDescent="0.25">
      <c r="B74" s="86"/>
      <c r="C74" s="92"/>
      <c r="D74" s="20" t="s">
        <v>9</v>
      </c>
      <c r="E74" s="59"/>
      <c r="F74" s="59"/>
      <c r="G74" s="59"/>
      <c r="H74" s="59"/>
    </row>
    <row r="75" spans="1:68" s="37" customFormat="1" x14ac:dyDescent="0.25">
      <c r="A75" s="51"/>
      <c r="B75" s="86"/>
      <c r="C75" s="92"/>
      <c r="D75" s="35" t="s">
        <v>10</v>
      </c>
      <c r="E75" s="60">
        <v>0</v>
      </c>
      <c r="F75" s="60">
        <v>0</v>
      </c>
      <c r="G75" s="60">
        <v>0</v>
      </c>
      <c r="H75" s="60">
        <v>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</row>
    <row r="76" spans="1:68" x14ac:dyDescent="0.25">
      <c r="B76" s="86"/>
      <c r="C76" s="92"/>
      <c r="D76" s="38" t="s">
        <v>11</v>
      </c>
      <c r="E76" s="61">
        <v>390</v>
      </c>
      <c r="F76" s="61">
        <v>306.27999999999997</v>
      </c>
      <c r="G76" s="61">
        <v>94.41</v>
      </c>
      <c r="H76" s="61">
        <f>G76/F76*100</f>
        <v>30.824735536110747</v>
      </c>
    </row>
    <row r="77" spans="1:68" x14ac:dyDescent="0.25">
      <c r="B77" s="86"/>
      <c r="C77" s="92"/>
      <c r="D77" s="39" t="s">
        <v>18</v>
      </c>
      <c r="E77" s="62">
        <f>E78+E79</f>
        <v>858</v>
      </c>
      <c r="F77" s="62" t="s">
        <v>7</v>
      </c>
      <c r="G77" s="62">
        <f>G78+G79</f>
        <v>7315.84</v>
      </c>
      <c r="H77" s="62" t="s">
        <v>7</v>
      </c>
    </row>
    <row r="78" spans="1:68" x14ac:dyDescent="0.25">
      <c r="B78" s="86"/>
      <c r="C78" s="92"/>
      <c r="D78" s="20" t="s">
        <v>15</v>
      </c>
      <c r="E78" s="59">
        <v>840</v>
      </c>
      <c r="F78" s="59" t="s">
        <v>7</v>
      </c>
      <c r="G78" s="59">
        <v>7315.24</v>
      </c>
      <c r="H78" s="59" t="s">
        <v>7</v>
      </c>
    </row>
    <row r="79" spans="1:68" x14ac:dyDescent="0.25">
      <c r="B79" s="86"/>
      <c r="C79" s="92"/>
      <c r="D79" s="20" t="s">
        <v>16</v>
      </c>
      <c r="E79" s="59">
        <v>18</v>
      </c>
      <c r="F79" s="59" t="s">
        <v>7</v>
      </c>
      <c r="G79" s="59">
        <v>0.6</v>
      </c>
      <c r="H79" s="59" t="s">
        <v>7</v>
      </c>
    </row>
    <row r="80" spans="1:68" ht="36.75" customHeight="1" x14ac:dyDescent="0.25">
      <c r="B80" s="26">
        <v>9</v>
      </c>
      <c r="C80" s="27" t="s">
        <v>26</v>
      </c>
      <c r="D80" s="28"/>
      <c r="E80" s="57">
        <f>E81+E85</f>
        <v>7794.92</v>
      </c>
      <c r="F80" s="57">
        <f>F81</f>
        <v>7191.1382599999997</v>
      </c>
      <c r="G80" s="57">
        <f>G81+G85</f>
        <v>7686.5434000000005</v>
      </c>
      <c r="H80" s="57" t="s">
        <v>7</v>
      </c>
    </row>
    <row r="81" spans="1:68" x14ac:dyDescent="0.25">
      <c r="B81" s="29"/>
      <c r="C81" s="85"/>
      <c r="D81" s="40" t="s">
        <v>8</v>
      </c>
      <c r="E81" s="58">
        <v>6921.92</v>
      </c>
      <c r="F81" s="58">
        <f>7191138.26/1000</f>
        <v>7191.1382599999997</v>
      </c>
      <c r="G81" s="58">
        <f>7186243.4/1000</f>
        <v>7186.2434000000003</v>
      </c>
      <c r="H81" s="54">
        <f>G81/F81*100</f>
        <v>99.931932055496318</v>
      </c>
      <c r="I81" s="2">
        <f>G81/G11*100</f>
        <v>0.25793091419144598</v>
      </c>
    </row>
    <row r="82" spans="1:68" x14ac:dyDescent="0.25">
      <c r="B82" s="86"/>
      <c r="C82" s="85"/>
      <c r="D82" s="20" t="s">
        <v>9</v>
      </c>
      <c r="E82" s="59"/>
      <c r="F82" s="59"/>
      <c r="G82" s="59"/>
      <c r="H82" s="59"/>
    </row>
    <row r="83" spans="1:68" s="37" customFormat="1" x14ac:dyDescent="0.25">
      <c r="A83" s="51"/>
      <c r="B83" s="86"/>
      <c r="C83" s="85"/>
      <c r="D83" s="35" t="s">
        <v>10</v>
      </c>
      <c r="E83" s="60">
        <v>2497.63</v>
      </c>
      <c r="F83" s="60">
        <f>(210348.72+2375929.54)/1000</f>
        <v>2586.27826</v>
      </c>
      <c r="G83" s="60">
        <f>(210348.72+2375929.54)/1000</f>
        <v>2586.27826</v>
      </c>
      <c r="H83" s="60">
        <f>G83/F83*100</f>
        <v>100</v>
      </c>
      <c r="I83" s="36">
        <f>G83/G13*100</f>
        <v>0.15259000306914339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</row>
    <row r="84" spans="1:68" x14ac:dyDescent="0.25">
      <c r="B84" s="86"/>
      <c r="C84" s="85"/>
      <c r="D84" s="38" t="s">
        <v>11</v>
      </c>
      <c r="E84" s="61">
        <f>E81-E83</f>
        <v>4424.29</v>
      </c>
      <c r="F84" s="61">
        <f>F81-F83</f>
        <v>4604.8599999999997</v>
      </c>
      <c r="G84" s="61">
        <f>G81-G83</f>
        <v>4599.9651400000002</v>
      </c>
      <c r="H84" s="61">
        <f>G84/F84*100</f>
        <v>99.893702305824732</v>
      </c>
    </row>
    <row r="85" spans="1:68" x14ac:dyDescent="0.25">
      <c r="B85" s="86"/>
      <c r="C85" s="85"/>
      <c r="D85" s="39" t="s">
        <v>18</v>
      </c>
      <c r="E85" s="62">
        <f>E86+E87</f>
        <v>873</v>
      </c>
      <c r="F85" s="62" t="s">
        <v>7</v>
      </c>
      <c r="G85" s="62">
        <f>G86+G87</f>
        <v>500.3</v>
      </c>
      <c r="H85" s="62" t="s">
        <v>7</v>
      </c>
    </row>
    <row r="86" spans="1:68" x14ac:dyDescent="0.25">
      <c r="B86" s="86"/>
      <c r="C86" s="85"/>
      <c r="D86" s="20" t="s">
        <v>15</v>
      </c>
      <c r="E86" s="59">
        <v>850</v>
      </c>
      <c r="F86" s="59" t="s">
        <v>7</v>
      </c>
      <c r="G86" s="59">
        <v>500.3</v>
      </c>
      <c r="H86" s="59" t="s">
        <v>7</v>
      </c>
    </row>
    <row r="87" spans="1:68" x14ac:dyDescent="0.25">
      <c r="B87" s="86"/>
      <c r="C87" s="85"/>
      <c r="D87" s="20" t="s">
        <v>16</v>
      </c>
      <c r="E87" s="59">
        <v>23</v>
      </c>
      <c r="F87" s="59" t="s">
        <v>7</v>
      </c>
      <c r="G87" s="59">
        <v>0</v>
      </c>
      <c r="H87" s="59" t="s">
        <v>7</v>
      </c>
    </row>
    <row r="88" spans="1:68" ht="92.25" customHeight="1" x14ac:dyDescent="0.25">
      <c r="B88" s="26">
        <v>10</v>
      </c>
      <c r="C88" s="50" t="s">
        <v>31</v>
      </c>
      <c r="D88" s="28"/>
      <c r="E88" s="57">
        <f>E89+E93</f>
        <v>402107.16000000003</v>
      </c>
      <c r="F88" s="57">
        <f>F89</f>
        <v>473137.07887000003</v>
      </c>
      <c r="G88" s="57">
        <f>G89+G93</f>
        <v>279226.89754000003</v>
      </c>
      <c r="H88" s="57" t="s">
        <v>7</v>
      </c>
    </row>
    <row r="89" spans="1:68" x14ac:dyDescent="0.25">
      <c r="B89" s="29"/>
      <c r="C89" s="30"/>
      <c r="D89" s="40" t="s">
        <v>8</v>
      </c>
      <c r="E89" s="58">
        <v>401784.34</v>
      </c>
      <c r="F89" s="58">
        <f>473137078.87/1000</f>
        <v>473137.07887000003</v>
      </c>
      <c r="G89" s="58">
        <f>278665647.54/1000</f>
        <v>278665.64754000003</v>
      </c>
      <c r="H89" s="54">
        <f>G89/F89*100</f>
        <v>58.897444310545509</v>
      </c>
      <c r="I89" s="2">
        <f>G89/G11*100</f>
        <v>10.001955294715383</v>
      </c>
    </row>
    <row r="90" spans="1:68" x14ac:dyDescent="0.25">
      <c r="B90" s="31"/>
      <c r="C90" s="32"/>
      <c r="D90" s="20" t="s">
        <v>9</v>
      </c>
      <c r="E90" s="59"/>
      <c r="F90" s="59"/>
      <c r="G90" s="59"/>
      <c r="H90" s="59"/>
    </row>
    <row r="91" spans="1:68" s="37" customFormat="1" x14ac:dyDescent="0.25">
      <c r="A91" s="51"/>
      <c r="B91" s="33"/>
      <c r="C91" s="34"/>
      <c r="D91" s="35" t="s">
        <v>10</v>
      </c>
      <c r="E91" s="60">
        <v>331888.09000000003</v>
      </c>
      <c r="F91" s="60">
        <f>(3312820.57+149299722.1+85470019.47+155116807.53)/1000</f>
        <v>393199.36966999999</v>
      </c>
      <c r="G91" s="60">
        <f>(3312820.57+66667584.72+85470019.47+54597432.43)/1000</f>
        <v>210047.85719000001</v>
      </c>
      <c r="H91" s="60">
        <f>G91/F91*100</f>
        <v>53.420191737918266</v>
      </c>
      <c r="I91" s="36">
        <f>G91/G13*100</f>
        <v>12.392789928678864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</row>
    <row r="92" spans="1:68" x14ac:dyDescent="0.25">
      <c r="B92" s="33"/>
      <c r="C92" s="34"/>
      <c r="D92" s="38" t="s">
        <v>11</v>
      </c>
      <c r="E92" s="61">
        <f>E89-E91</f>
        <v>69896.25</v>
      </c>
      <c r="F92" s="61">
        <f>F89-F91</f>
        <v>79937.709200000041</v>
      </c>
      <c r="G92" s="61">
        <f>G89-G91</f>
        <v>68617.790350000025</v>
      </c>
      <c r="H92" s="61">
        <f>G92/F92*100</f>
        <v>85.839075245854048</v>
      </c>
    </row>
    <row r="93" spans="1:68" x14ac:dyDescent="0.25">
      <c r="B93" s="33"/>
      <c r="C93" s="34"/>
      <c r="D93" s="39" t="s">
        <v>27</v>
      </c>
      <c r="E93" s="62">
        <v>322.82</v>
      </c>
      <c r="F93" s="62" t="s">
        <v>7</v>
      </c>
      <c r="G93" s="62">
        <v>561.25</v>
      </c>
      <c r="H93" s="62" t="s">
        <v>7</v>
      </c>
    </row>
    <row r="94" spans="1:68" x14ac:dyDescent="0.25">
      <c r="B94" s="33"/>
      <c r="C94" s="34"/>
      <c r="D94" s="20" t="s">
        <v>15</v>
      </c>
      <c r="E94" s="59">
        <v>0</v>
      </c>
      <c r="F94" s="59" t="s">
        <v>7</v>
      </c>
      <c r="G94" s="59">
        <v>510.53</v>
      </c>
      <c r="H94" s="59" t="s">
        <v>7</v>
      </c>
    </row>
    <row r="95" spans="1:68" x14ac:dyDescent="0.25">
      <c r="B95" s="31"/>
      <c r="C95" s="32"/>
      <c r="D95" s="20" t="s">
        <v>16</v>
      </c>
      <c r="E95" s="59">
        <v>322.82</v>
      </c>
      <c r="F95" s="59" t="s">
        <v>7</v>
      </c>
      <c r="G95" s="59">
        <v>50.72</v>
      </c>
      <c r="H95" s="59" t="s">
        <v>7</v>
      </c>
    </row>
    <row r="96" spans="1:68" ht="56.25" customHeight="1" x14ac:dyDescent="0.25">
      <c r="B96" s="26">
        <v>11</v>
      </c>
      <c r="C96" s="50" t="s">
        <v>28</v>
      </c>
      <c r="D96" s="28"/>
      <c r="E96" s="57">
        <f>E99+E100+E101</f>
        <v>17480.849999999999</v>
      </c>
      <c r="F96" s="57">
        <f>F99+F100</f>
        <v>6371.86222</v>
      </c>
      <c r="G96" s="57">
        <f>G97+G101</f>
        <v>22809.878140000001</v>
      </c>
      <c r="H96" s="57">
        <v>0</v>
      </c>
    </row>
    <row r="97" spans="1:68" x14ac:dyDescent="0.25">
      <c r="B97" s="29"/>
      <c r="C97" s="30"/>
      <c r="D97" s="40" t="s">
        <v>8</v>
      </c>
      <c r="E97" s="58">
        <v>6371.86</v>
      </c>
      <c r="F97" s="58">
        <f>6371862.22/1000</f>
        <v>6371.86222</v>
      </c>
      <c r="G97" s="58">
        <f>6082678.14/1000</f>
        <v>6082.67814</v>
      </c>
      <c r="H97" s="78">
        <f>G97/F97*100</f>
        <v>95.461545306295093</v>
      </c>
      <c r="I97" s="2">
        <f>G97/G11*100</f>
        <v>0.21832140188607088</v>
      </c>
    </row>
    <row r="98" spans="1:68" x14ac:dyDescent="0.25">
      <c r="B98" s="31"/>
      <c r="C98" s="32"/>
      <c r="D98" s="20" t="s">
        <v>9</v>
      </c>
      <c r="E98" s="59"/>
      <c r="F98" s="59"/>
      <c r="G98" s="59"/>
      <c r="H98" s="59"/>
    </row>
    <row r="99" spans="1:68" s="37" customFormat="1" x14ac:dyDescent="0.25">
      <c r="A99" s="51"/>
      <c r="B99" s="33"/>
      <c r="C99" s="34"/>
      <c r="D99" s="35" t="s">
        <v>10</v>
      </c>
      <c r="E99" s="60">
        <v>5682.4</v>
      </c>
      <c r="F99" s="60">
        <f>5682398.4/1000</f>
        <v>5682.3984</v>
      </c>
      <c r="G99" s="60">
        <f>5408392.18/1000</f>
        <v>5408.3921799999998</v>
      </c>
      <c r="H99" s="60">
        <f>G99/F99*100</f>
        <v>95.177982944666468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</row>
    <row r="100" spans="1:68" x14ac:dyDescent="0.25">
      <c r="B100" s="33"/>
      <c r="C100" s="34"/>
      <c r="D100" s="38" t="s">
        <v>11</v>
      </c>
      <c r="E100" s="61">
        <f>E97-E99</f>
        <v>689.46</v>
      </c>
      <c r="F100" s="61">
        <f>F97-F99</f>
        <v>689.46381999999994</v>
      </c>
      <c r="G100" s="61">
        <f>G97-G99</f>
        <v>674.28596000000016</v>
      </c>
      <c r="H100" s="79">
        <f>G100/F100*100</f>
        <v>97.798599497215136</v>
      </c>
    </row>
    <row r="101" spans="1:68" x14ac:dyDescent="0.25">
      <c r="B101" s="31"/>
      <c r="C101" s="32"/>
      <c r="D101" s="39" t="s">
        <v>12</v>
      </c>
      <c r="E101" s="62">
        <v>11108.99</v>
      </c>
      <c r="F101" s="62" t="s">
        <v>7</v>
      </c>
      <c r="G101" s="62">
        <f>G102+G103</f>
        <v>16727.2</v>
      </c>
      <c r="H101" s="62" t="s">
        <v>7</v>
      </c>
    </row>
    <row r="102" spans="1:68" x14ac:dyDescent="0.25">
      <c r="B102" s="31"/>
      <c r="C102" s="32"/>
      <c r="D102" s="20" t="s">
        <v>15</v>
      </c>
      <c r="E102" s="59">
        <v>0</v>
      </c>
      <c r="F102" s="59" t="s">
        <v>7</v>
      </c>
      <c r="G102" s="59">
        <v>0</v>
      </c>
      <c r="H102" s="59" t="s">
        <v>7</v>
      </c>
    </row>
    <row r="103" spans="1:68" x14ac:dyDescent="0.25">
      <c r="B103" s="31"/>
      <c r="C103" s="32"/>
      <c r="D103" s="20" t="s">
        <v>16</v>
      </c>
      <c r="E103" s="59">
        <v>11108.99</v>
      </c>
      <c r="F103" s="59" t="s">
        <v>7</v>
      </c>
      <c r="G103" s="59">
        <v>16727.2</v>
      </c>
      <c r="H103" s="59" t="s">
        <v>7</v>
      </c>
    </row>
    <row r="104" spans="1:68" ht="40.35" customHeight="1" x14ac:dyDescent="0.25">
      <c r="B104" s="26">
        <v>12</v>
      </c>
      <c r="C104" s="50" t="s">
        <v>29</v>
      </c>
      <c r="D104" s="28"/>
      <c r="E104" s="57">
        <f>E105</f>
        <v>59230.11</v>
      </c>
      <c r="F104" s="57">
        <f>F105</f>
        <v>993.22279000000003</v>
      </c>
      <c r="G104" s="57">
        <f>G105</f>
        <v>993.22279000000003</v>
      </c>
      <c r="H104" s="57" t="s">
        <v>7</v>
      </c>
    </row>
    <row r="105" spans="1:68" x14ac:dyDescent="0.25">
      <c r="B105" s="29"/>
      <c r="C105" s="30"/>
      <c r="D105" s="40" t="s">
        <v>8</v>
      </c>
      <c r="E105" s="58">
        <v>59230.11</v>
      </c>
      <c r="F105" s="78">
        <f>993222.79/1000</f>
        <v>993.22279000000003</v>
      </c>
      <c r="G105" s="78">
        <f>993222.79/1000</f>
        <v>993.22279000000003</v>
      </c>
      <c r="H105" s="78">
        <f>G105/F105*100</f>
        <v>100</v>
      </c>
      <c r="I105" s="2">
        <f>G105/G11*100</f>
        <v>3.5649065577221972E-2</v>
      </c>
    </row>
    <row r="106" spans="1:68" x14ac:dyDescent="0.25">
      <c r="B106" s="31"/>
      <c r="C106" s="32"/>
      <c r="D106" s="20" t="s">
        <v>9</v>
      </c>
      <c r="E106" s="59"/>
      <c r="F106" s="59"/>
      <c r="G106" s="59"/>
      <c r="H106" s="59"/>
    </row>
    <row r="107" spans="1:68" s="37" customFormat="1" x14ac:dyDescent="0.25">
      <c r="A107" s="51"/>
      <c r="B107" s="33"/>
      <c r="C107" s="34"/>
      <c r="D107" s="35" t="s">
        <v>10</v>
      </c>
      <c r="E107" s="60">
        <v>51514.95</v>
      </c>
      <c r="F107" s="60">
        <v>0</v>
      </c>
      <c r="G107" s="60">
        <v>0</v>
      </c>
      <c r="H107" s="60">
        <v>0</v>
      </c>
      <c r="I107" s="36">
        <f>G107/G13*100</f>
        <v>0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</row>
    <row r="108" spans="1:68" x14ac:dyDescent="0.25">
      <c r="B108" s="33"/>
      <c r="C108" s="34"/>
      <c r="D108" s="38" t="s">
        <v>11</v>
      </c>
      <c r="E108" s="80">
        <f>E105-E107</f>
        <v>7715.1600000000035</v>
      </c>
      <c r="F108" s="61">
        <f>F105-F107</f>
        <v>993.22279000000003</v>
      </c>
      <c r="G108" s="61">
        <f>G105-G107</f>
        <v>993.22279000000003</v>
      </c>
      <c r="H108" s="61">
        <f>G108/F108*100</f>
        <v>100</v>
      </c>
    </row>
    <row r="109" spans="1:68" x14ac:dyDescent="0.25">
      <c r="B109" s="24"/>
      <c r="C109" s="43"/>
      <c r="D109" s="39" t="s">
        <v>12</v>
      </c>
      <c r="E109" s="62">
        <v>0</v>
      </c>
      <c r="F109" s="62" t="s">
        <v>7</v>
      </c>
      <c r="G109" s="62">
        <v>0</v>
      </c>
      <c r="H109" s="62" t="s">
        <v>7</v>
      </c>
    </row>
    <row r="110" spans="1:68" ht="93.75" customHeight="1" x14ac:dyDescent="0.25">
      <c r="B110" s="26">
        <v>13</v>
      </c>
      <c r="C110" s="50" t="s">
        <v>30</v>
      </c>
      <c r="D110" s="28"/>
      <c r="E110" s="57">
        <f>E111+E115</f>
        <v>32492.68</v>
      </c>
      <c r="F110" s="57">
        <f>F111</f>
        <v>47615.579149999998</v>
      </c>
      <c r="G110" s="57">
        <f>G111</f>
        <v>45821.931810000002</v>
      </c>
      <c r="H110" s="57" t="s">
        <v>7</v>
      </c>
    </row>
    <row r="111" spans="1:68" x14ac:dyDescent="0.25">
      <c r="B111" s="29"/>
      <c r="C111" s="30"/>
      <c r="D111" s="40" t="s">
        <v>8</v>
      </c>
      <c r="E111" s="58">
        <v>32492.68</v>
      </c>
      <c r="F111" s="58">
        <f>47615579.15/1000</f>
        <v>47615.579149999998</v>
      </c>
      <c r="G111" s="58">
        <f>45821931.81/1000</f>
        <v>45821.931810000002</v>
      </c>
      <c r="H111" s="54">
        <f>G111/F111*100</f>
        <v>96.233066210641709</v>
      </c>
      <c r="I111" s="2">
        <f>G111/G11*100</f>
        <v>1.644655225812613</v>
      </c>
    </row>
    <row r="112" spans="1:68" x14ac:dyDescent="0.25">
      <c r="B112" s="31"/>
      <c r="C112" s="32"/>
      <c r="D112" s="20" t="s">
        <v>9</v>
      </c>
      <c r="E112" s="59"/>
      <c r="F112" s="59"/>
      <c r="G112" s="59"/>
      <c r="H112" s="59"/>
    </row>
    <row r="113" spans="1:68" s="37" customFormat="1" x14ac:dyDescent="0.25">
      <c r="A113" s="51"/>
      <c r="B113" s="33"/>
      <c r="C113" s="34"/>
      <c r="D113" s="35" t="s">
        <v>10</v>
      </c>
      <c r="E113" s="60">
        <v>141.36000000000001</v>
      </c>
      <c r="F113" s="60">
        <f>(100000+41358.08+12720166.02)/1000</f>
        <v>12861.524099999999</v>
      </c>
      <c r="G113" s="60">
        <f>(99985.49+41358+11206684.77)/1000</f>
        <v>11348.028259999999</v>
      </c>
      <c r="H113" s="60">
        <f>G113/F113*100</f>
        <v>88.232375663783117</v>
      </c>
      <c r="I113" s="36">
        <f>G113/G13*100</f>
        <v>0.66953184960930145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</row>
    <row r="114" spans="1:68" x14ac:dyDescent="0.25">
      <c r="B114" s="33"/>
      <c r="C114" s="34"/>
      <c r="D114" s="38" t="s">
        <v>11</v>
      </c>
      <c r="E114" s="61">
        <f>E111-E113</f>
        <v>32351.32</v>
      </c>
      <c r="F114" s="61">
        <f>F111-F113</f>
        <v>34754.055049999995</v>
      </c>
      <c r="G114" s="61">
        <f>G111-G113</f>
        <v>34473.903550000003</v>
      </c>
      <c r="H114" s="61">
        <f>G114/F114*100</f>
        <v>99.193902698269483</v>
      </c>
    </row>
    <row r="115" spans="1:68" x14ac:dyDescent="0.25">
      <c r="B115" s="31"/>
      <c r="C115" s="32"/>
      <c r="D115" s="39" t="s">
        <v>12</v>
      </c>
      <c r="E115" s="62">
        <v>0</v>
      </c>
      <c r="F115" s="62" t="s">
        <v>7</v>
      </c>
      <c r="G115" s="62">
        <v>0</v>
      </c>
      <c r="H115" s="62">
        <v>0</v>
      </c>
    </row>
    <row r="116" spans="1:68" ht="71.25" customHeight="1" x14ac:dyDescent="0.25">
      <c r="B116" s="26">
        <v>14</v>
      </c>
      <c r="C116" s="50" t="s">
        <v>32</v>
      </c>
      <c r="D116" s="28"/>
      <c r="E116" s="68">
        <f>E117+E121</f>
        <v>57193.39</v>
      </c>
      <c r="F116" s="57">
        <f>F117</f>
        <v>64799.161030000003</v>
      </c>
      <c r="G116" s="57">
        <f>G117</f>
        <v>63417.302429999996</v>
      </c>
      <c r="H116" s="57" t="s">
        <v>7</v>
      </c>
    </row>
    <row r="117" spans="1:68" x14ac:dyDescent="0.25">
      <c r="B117" s="87"/>
      <c r="C117" s="88"/>
      <c r="D117" s="40" t="s">
        <v>8</v>
      </c>
      <c r="E117" s="69">
        <v>57193.39</v>
      </c>
      <c r="F117" s="58">
        <f>64799161.03/1000</f>
        <v>64799.161030000003</v>
      </c>
      <c r="G117" s="58">
        <f>63417302.43/1000</f>
        <v>63417.302429999996</v>
      </c>
      <c r="H117" s="54">
        <f>G117/F117*100</f>
        <v>97.867474550542028</v>
      </c>
      <c r="I117" s="2">
        <f>G117/G11*100</f>
        <v>2.2761938165530697</v>
      </c>
    </row>
    <row r="118" spans="1:68" x14ac:dyDescent="0.25">
      <c r="B118" s="87"/>
      <c r="C118" s="88"/>
      <c r="D118" s="23" t="s">
        <v>9</v>
      </c>
      <c r="E118" s="70"/>
      <c r="F118" s="59"/>
      <c r="G118" s="59"/>
      <c r="H118" s="59"/>
    </row>
    <row r="119" spans="1:68" s="37" customFormat="1" x14ac:dyDescent="0.25">
      <c r="A119" s="51"/>
      <c r="B119" s="87"/>
      <c r="C119" s="88"/>
      <c r="D119" s="35" t="s">
        <v>10</v>
      </c>
      <c r="E119" s="71">
        <v>0</v>
      </c>
      <c r="F119" s="60">
        <v>0</v>
      </c>
      <c r="G119" s="60">
        <v>0</v>
      </c>
      <c r="H119" s="60">
        <v>0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</row>
    <row r="120" spans="1:68" x14ac:dyDescent="0.25">
      <c r="B120" s="87"/>
      <c r="C120" s="88"/>
      <c r="D120" s="38" t="s">
        <v>11</v>
      </c>
      <c r="E120" s="61">
        <v>55084.01</v>
      </c>
      <c r="F120" s="61">
        <f>F117-F119</f>
        <v>64799.161030000003</v>
      </c>
      <c r="G120" s="61">
        <f>G117-G119</f>
        <v>63417.302429999996</v>
      </c>
      <c r="H120" s="61">
        <f>G120/F120*100</f>
        <v>97.867474550542028</v>
      </c>
    </row>
    <row r="121" spans="1:68" x14ac:dyDescent="0.25">
      <c r="B121" s="87"/>
      <c r="C121" s="88"/>
      <c r="D121" s="39" t="s">
        <v>12</v>
      </c>
      <c r="E121" s="62">
        <v>0</v>
      </c>
      <c r="F121" s="62" t="s">
        <v>7</v>
      </c>
      <c r="G121" s="62">
        <v>0</v>
      </c>
      <c r="H121" s="62">
        <v>0</v>
      </c>
    </row>
    <row r="122" spans="1:68" x14ac:dyDescent="0.25">
      <c r="B122" s="44"/>
      <c r="C122" s="45"/>
      <c r="D122" s="46"/>
      <c r="E122" s="47"/>
      <c r="F122" s="47"/>
      <c r="G122" s="47"/>
      <c r="H122" s="47"/>
    </row>
  </sheetData>
  <mergeCells count="9">
    <mergeCell ref="C81:C87"/>
    <mergeCell ref="B82:B87"/>
    <mergeCell ref="B117:B121"/>
    <mergeCell ref="C117:C121"/>
    <mergeCell ref="G2:H2"/>
    <mergeCell ref="G3:H3"/>
    <mergeCell ref="C6:H6"/>
    <mergeCell ref="B73:B79"/>
    <mergeCell ref="C73:C79"/>
  </mergeCells>
  <pageMargins left="0.7" right="0.7" top="0.75" bottom="0.75" header="0.51180555555555496" footer="0.51180555555555496"/>
  <pageSetup paperSize="9" scale="95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50" zoomScaleNormal="150" workbookViewId="0">
      <selection activeCell="A7" sqref="A7"/>
    </sheetView>
  </sheetViews>
  <sheetFormatPr defaultRowHeight="15" x14ac:dyDescent="0.25"/>
  <cols>
    <col min="1" max="1" width="16.5703125" customWidth="1"/>
    <col min="2" max="1025" width="8.7109375" customWidth="1"/>
  </cols>
  <sheetData>
    <row r="1" spans="1:2" x14ac:dyDescent="0.25">
      <c r="A1" s="48">
        <v>2934898.76</v>
      </c>
    </row>
    <row r="2" spans="1:2" x14ac:dyDescent="0.25">
      <c r="A2" s="48">
        <v>4233429.95</v>
      </c>
    </row>
    <row r="3" spans="1:2" x14ac:dyDescent="0.25">
      <c r="A3" s="48">
        <v>12823650.84</v>
      </c>
      <c r="B3" s="48">
        <f>(A1+A2+A3)/1000</f>
        <v>19991.97955</v>
      </c>
    </row>
    <row r="4" spans="1:2" x14ac:dyDescent="0.25">
      <c r="A4" s="48">
        <v>5142210.03</v>
      </c>
    </row>
    <row r="5" spans="1:2" x14ac:dyDescent="0.25">
      <c r="A5" s="48">
        <v>6702479.2599999998</v>
      </c>
    </row>
    <row r="6" spans="1:2" x14ac:dyDescent="0.25">
      <c r="A6" s="48">
        <v>3069865.57</v>
      </c>
      <c r="B6">
        <f>(A1+A2+A3+A4+A5+A6)/1000</f>
        <v>34906.534410000007</v>
      </c>
    </row>
    <row r="7" spans="1:2" x14ac:dyDescent="0.25">
      <c r="A7" s="49">
        <f>A1+A2+A3+A4+A5+A6</f>
        <v>34906534.410000004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myazina</dc:creator>
  <dc:description/>
  <cp:lastModifiedBy>seryak</cp:lastModifiedBy>
  <cp:revision>174</cp:revision>
  <cp:lastPrinted>2023-04-24T11:55:26Z</cp:lastPrinted>
  <dcterms:created xsi:type="dcterms:W3CDTF">2019-08-07T13:05:49Z</dcterms:created>
  <dcterms:modified xsi:type="dcterms:W3CDTF">2023-04-24T11:55:27Z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